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defaultThemeVersion="124226"/>
  <bookViews>
    <workbookView xWindow="240" yWindow="30" windowWidth="15600" windowHeight="9855" tabRatio="890"/>
  </bookViews>
  <sheets>
    <sheet name="계산(예제)" sheetId="1" r:id="rId1"/>
    <sheet name="계산(결과)" sheetId="4" r:id="rId2"/>
    <sheet name="날짜1(예제)" sheetId="2" r:id="rId3"/>
    <sheet name="날짜1(결과)" sheetId="5" r:id="rId4"/>
    <sheet name="날짜2(예제)" sheetId="3" r:id="rId5"/>
    <sheet name="날짜2(결과)" sheetId="6" r:id="rId6"/>
    <sheet name="논리(예제)" sheetId="7" r:id="rId7"/>
    <sheet name="논리(결과)" sheetId="8" r:id="rId8"/>
    <sheet name="데이터베이스(예제)" sheetId="9" r:id="rId9"/>
    <sheet name="데이터베이스(결과)" sheetId="11" r:id="rId10"/>
    <sheet name="문자열1(예제)" sheetId="10" r:id="rId11"/>
    <sheet name="문자열1(결과)" sheetId="12" r:id="rId12"/>
    <sheet name="문자열2(예제)" sheetId="13" r:id="rId13"/>
    <sheet name="문자열2(결과)" sheetId="14" r:id="rId14"/>
    <sheet name="문자열3(예제)" sheetId="15" r:id="rId15"/>
    <sheet name="문자열3(결과)" sheetId="16" r:id="rId16"/>
    <sheet name="수학1(예제)" sheetId="17" r:id="rId17"/>
    <sheet name="수학1(결과)" sheetId="23" r:id="rId18"/>
    <sheet name="수학2(예제)" sheetId="18" r:id="rId19"/>
    <sheet name="수학2(결과)" sheetId="19" r:id="rId20"/>
    <sheet name="통계1(예제)" sheetId="20" r:id="rId21"/>
    <sheet name="통계1(결과)" sheetId="24" r:id="rId22"/>
    <sheet name="통계2(예제)" sheetId="21" r:id="rId23"/>
    <sheet name="통계2(결과)" sheetId="25" r:id="rId24"/>
    <sheet name="통계3(예제)" sheetId="37" r:id="rId25"/>
    <sheet name="통계3(결과)" sheetId="22" r:id="rId26"/>
    <sheet name="찾기1(예제)" sheetId="36" r:id="rId27"/>
    <sheet name="찾기1(결과)" sheetId="35" r:id="rId28"/>
    <sheet name="찾기2(예제)" sheetId="32" r:id="rId29"/>
    <sheet name="찾기2(결과)" sheetId="26" r:id="rId30"/>
  </sheets>
  <calcPr calcId="145621"/>
</workbook>
</file>

<file path=xl/calcChain.xml><?xml version="1.0" encoding="utf-8"?>
<calcChain xmlns="http://schemas.openxmlformats.org/spreadsheetml/2006/main">
  <c r="F3" i="12" l="1"/>
  <c r="F4" i="12"/>
  <c r="F5" i="12"/>
  <c r="F6" i="12"/>
  <c r="F7" i="12"/>
  <c r="F8" i="12"/>
  <c r="F9" i="12"/>
  <c r="F10" i="12"/>
  <c r="F11" i="12"/>
  <c r="F12" i="12"/>
  <c r="F13" i="12"/>
  <c r="D3" i="10"/>
  <c r="B1" i="5" l="1"/>
  <c r="B2" i="5"/>
  <c r="M10" i="35"/>
  <c r="M9" i="35"/>
  <c r="M8" i="35"/>
  <c r="M7" i="35"/>
  <c r="M6" i="35"/>
  <c r="M5" i="35"/>
  <c r="M4" i="35"/>
  <c r="M3" i="35"/>
  <c r="D16" i="8" l="1"/>
  <c r="D17" i="8"/>
  <c r="D18" i="8"/>
  <c r="D19" i="8"/>
  <c r="D20" i="8"/>
  <c r="D21" i="8"/>
  <c r="D15" i="8"/>
  <c r="K12" i="22"/>
  <c r="K9" i="22"/>
  <c r="K6" i="22"/>
  <c r="K3" i="22"/>
  <c r="J23" i="35"/>
  <c r="D23" i="35"/>
  <c r="J22" i="35"/>
  <c r="D22" i="35"/>
  <c r="J21" i="35"/>
  <c r="D21" i="35"/>
  <c r="J20" i="35"/>
  <c r="D20" i="35"/>
  <c r="J19" i="35"/>
  <c r="D19" i="35"/>
  <c r="J18" i="35"/>
  <c r="D18" i="35"/>
  <c r="J17" i="35"/>
  <c r="J16" i="35"/>
  <c r="I10" i="35"/>
  <c r="D10" i="35"/>
  <c r="D9" i="35"/>
  <c r="D8" i="35"/>
  <c r="D7" i="35"/>
  <c r="D6" i="35"/>
  <c r="D5" i="35"/>
  <c r="D4" i="35"/>
  <c r="D3" i="35"/>
  <c r="E13" i="26"/>
  <c r="E12" i="26"/>
  <c r="E11" i="26"/>
  <c r="E10" i="26"/>
  <c r="B8" i="26"/>
  <c r="B7" i="26"/>
  <c r="B6" i="26"/>
  <c r="B5" i="26"/>
  <c r="B4" i="26"/>
  <c r="F3" i="26"/>
  <c r="E3" i="26"/>
  <c r="D3" i="26"/>
  <c r="C3" i="26"/>
  <c r="K23" i="25" l="1"/>
  <c r="J23" i="25"/>
  <c r="I23" i="25"/>
  <c r="H23" i="25"/>
  <c r="D23" i="25"/>
  <c r="C23" i="25"/>
  <c r="B23" i="25"/>
  <c r="I5" i="25"/>
  <c r="D4" i="25"/>
  <c r="D31" i="24"/>
  <c r="C31" i="24"/>
  <c r="B31" i="24"/>
  <c r="D30" i="24"/>
  <c r="C30" i="24"/>
  <c r="B30" i="24"/>
  <c r="I20" i="24"/>
  <c r="C20" i="24"/>
  <c r="I19" i="24"/>
  <c r="C19" i="24"/>
  <c r="I18" i="24"/>
  <c r="I17" i="24"/>
  <c r="I16" i="24"/>
  <c r="I15" i="24"/>
  <c r="I14" i="24"/>
  <c r="I10" i="24"/>
  <c r="I9" i="24"/>
  <c r="I8" i="24"/>
  <c r="I7" i="24"/>
  <c r="E7" i="24"/>
  <c r="I6" i="24"/>
  <c r="E6" i="24"/>
  <c r="I5" i="24"/>
  <c r="E5" i="24"/>
  <c r="I4" i="24"/>
  <c r="E4" i="24"/>
  <c r="I3" i="24"/>
  <c r="E3" i="24"/>
  <c r="F19" i="19"/>
  <c r="E19" i="19"/>
  <c r="D19" i="19"/>
  <c r="C19" i="19"/>
  <c r="G15" i="19"/>
  <c r="G14" i="19"/>
  <c r="G13" i="19"/>
  <c r="G12" i="19"/>
  <c r="G11" i="19"/>
  <c r="G10" i="19"/>
  <c r="G9" i="19"/>
  <c r="D6" i="19"/>
  <c r="H4" i="19"/>
  <c r="D4" i="19"/>
  <c r="H2" i="19"/>
  <c r="D2" i="19"/>
  <c r="G15" i="18"/>
  <c r="G14" i="18"/>
  <c r="G13" i="18"/>
  <c r="G12" i="18"/>
  <c r="G11" i="18"/>
  <c r="G10" i="18"/>
  <c r="G9" i="18"/>
  <c r="H19" i="19" l="1"/>
  <c r="C17" i="23"/>
  <c r="D17" i="23"/>
  <c r="C18" i="23"/>
  <c r="D18" i="23"/>
  <c r="C19" i="23"/>
  <c r="D19" i="23"/>
  <c r="D10" i="23"/>
  <c r="E10" i="23"/>
  <c r="F10" i="23"/>
  <c r="G10" i="23"/>
  <c r="D11" i="23"/>
  <c r="E11" i="23"/>
  <c r="F11" i="23"/>
  <c r="G11" i="23"/>
  <c r="D12" i="23"/>
  <c r="E12" i="23"/>
  <c r="F12" i="23"/>
  <c r="G12" i="23"/>
  <c r="D13" i="23"/>
  <c r="E13" i="23"/>
  <c r="F13" i="23"/>
  <c r="G13" i="23"/>
  <c r="C4" i="23"/>
  <c r="C5" i="23"/>
  <c r="C6" i="23"/>
  <c r="D16" i="23"/>
  <c r="C16" i="23"/>
  <c r="G9" i="23"/>
  <c r="F9" i="23"/>
  <c r="E9" i="23"/>
  <c r="D9" i="23"/>
  <c r="C3" i="23"/>
  <c r="C4" i="16"/>
  <c r="D4" i="16"/>
  <c r="C5" i="16"/>
  <c r="D5" i="16"/>
  <c r="C6" i="16"/>
  <c r="D6" i="16"/>
  <c r="C7" i="16"/>
  <c r="D7" i="16"/>
  <c r="D3" i="16"/>
  <c r="C3" i="16"/>
  <c r="C4" i="14"/>
  <c r="D4" i="14"/>
  <c r="E4" i="14"/>
  <c r="F4" i="14"/>
  <c r="C5" i="14"/>
  <c r="D5" i="14"/>
  <c r="E5" i="14"/>
  <c r="F5" i="14"/>
  <c r="C6" i="14"/>
  <c r="D6" i="14"/>
  <c r="E6" i="14"/>
  <c r="F6" i="14"/>
  <c r="C7" i="14"/>
  <c r="D7" i="14"/>
  <c r="E7" i="14"/>
  <c r="F7" i="14"/>
  <c r="F3" i="14"/>
  <c r="E3" i="14"/>
  <c r="D3" i="14"/>
  <c r="C3" i="14"/>
  <c r="E4" i="12"/>
  <c r="E5" i="12"/>
  <c r="E6" i="12"/>
  <c r="E7" i="12"/>
  <c r="E8" i="12"/>
  <c r="E9" i="12"/>
  <c r="E10" i="12"/>
  <c r="E11" i="12"/>
  <c r="E12" i="12"/>
  <c r="E13" i="12"/>
  <c r="E3" i="12"/>
  <c r="D4" i="12"/>
  <c r="D5" i="12"/>
  <c r="D6" i="12"/>
  <c r="D7" i="12"/>
  <c r="D8" i="12"/>
  <c r="D9" i="12"/>
  <c r="D10" i="12"/>
  <c r="D11" i="12"/>
  <c r="D12" i="12"/>
  <c r="D13" i="12"/>
  <c r="D3" i="12"/>
  <c r="C37" i="11"/>
  <c r="F24" i="11"/>
  <c r="C24" i="11"/>
  <c r="B24" i="11"/>
  <c r="D12" i="11"/>
  <c r="I34" i="11"/>
  <c r="I33" i="11"/>
  <c r="I32" i="11"/>
  <c r="I31" i="11"/>
  <c r="I30" i="11"/>
  <c r="I29" i="11"/>
  <c r="I28" i="11"/>
  <c r="I10" i="11"/>
  <c r="I9" i="11"/>
  <c r="I8" i="11"/>
  <c r="I7" i="11"/>
  <c r="I6" i="11"/>
  <c r="I5" i="11"/>
  <c r="I4" i="11"/>
  <c r="I3" i="11"/>
  <c r="I12" i="11" s="1"/>
  <c r="I34" i="9"/>
  <c r="I33" i="9"/>
  <c r="I32" i="9"/>
  <c r="I31" i="9"/>
  <c r="I30" i="9"/>
  <c r="I29" i="9"/>
  <c r="I28" i="9"/>
  <c r="I10" i="9"/>
  <c r="I9" i="9"/>
  <c r="I8" i="9"/>
  <c r="I7" i="9"/>
  <c r="I6" i="9"/>
  <c r="I5" i="9"/>
  <c r="I4" i="9"/>
  <c r="I3" i="9"/>
  <c r="H37" i="11" l="1"/>
  <c r="D27" i="8"/>
  <c r="D28" i="8"/>
  <c r="D29" i="8"/>
  <c r="D30" i="8"/>
  <c r="D31" i="8"/>
  <c r="D32" i="8"/>
  <c r="D33" i="8"/>
  <c r="D34" i="8"/>
  <c r="D26" i="8"/>
  <c r="J16" i="8"/>
  <c r="J17" i="8"/>
  <c r="J18" i="8"/>
  <c r="J19" i="8"/>
  <c r="J20" i="8"/>
  <c r="J21" i="8"/>
  <c r="J22" i="8"/>
  <c r="J23" i="8"/>
  <c r="J15" i="8"/>
  <c r="I4" i="8"/>
  <c r="I5" i="8"/>
  <c r="I6" i="8"/>
  <c r="I7" i="8"/>
  <c r="I8" i="8"/>
  <c r="I9" i="8"/>
  <c r="I3" i="8"/>
  <c r="D4" i="8"/>
  <c r="D5" i="8"/>
  <c r="D6" i="8"/>
  <c r="D7" i="8"/>
  <c r="D8" i="8"/>
  <c r="D9" i="8"/>
  <c r="D10" i="8"/>
  <c r="D11" i="8"/>
  <c r="D3" i="8"/>
  <c r="C14" i="6"/>
  <c r="C15" i="6"/>
  <c r="C16" i="6"/>
  <c r="C17" i="6"/>
  <c r="C13" i="6"/>
  <c r="D5" i="6"/>
  <c r="E5" i="6"/>
  <c r="D6" i="6"/>
  <c r="E6" i="6"/>
  <c r="D7" i="6"/>
  <c r="E7" i="6"/>
  <c r="D8" i="6"/>
  <c r="E8" i="6"/>
  <c r="D9" i="6"/>
  <c r="E9" i="6"/>
  <c r="E4" i="6"/>
  <c r="D4" i="6"/>
  <c r="B5" i="5"/>
  <c r="B9" i="5" l="1"/>
  <c r="B13" i="5"/>
  <c r="B7" i="5"/>
  <c r="B8" i="5"/>
  <c r="B6" i="5"/>
  <c r="B10" i="5"/>
  <c r="B11" i="5" l="1"/>
  <c r="B12" i="5"/>
  <c r="G8" i="4" l="1"/>
  <c r="I7" i="4" s="1"/>
  <c r="C8" i="4"/>
  <c r="D8" i="4" s="1"/>
  <c r="C7" i="4"/>
  <c r="D7" i="4" s="1"/>
  <c r="C6" i="4"/>
  <c r="D6" i="4" s="1"/>
  <c r="C5" i="4"/>
  <c r="D5" i="4" s="1"/>
  <c r="C4" i="4"/>
  <c r="D4" i="4" s="1"/>
  <c r="C3" i="4"/>
  <c r="D3" i="4" s="1"/>
  <c r="G8" i="1"/>
  <c r="C8" i="1"/>
  <c r="C7" i="1"/>
  <c r="C6" i="1"/>
  <c r="C5" i="1"/>
  <c r="C4" i="1"/>
  <c r="C3" i="1"/>
  <c r="I6" i="4" l="1"/>
  <c r="I5" i="4"/>
  <c r="I4" i="4"/>
  <c r="I3" i="4"/>
</calcChain>
</file>

<file path=xl/sharedStrings.xml><?xml version="1.0" encoding="utf-8"?>
<sst xmlns="http://schemas.openxmlformats.org/spreadsheetml/2006/main" count="1409" uniqueCount="747">
  <si>
    <t>품목별 판매 현황</t>
  </si>
  <si>
    <t>고공 낙하 회수별 인원</t>
  </si>
  <si>
    <t xml:space="preserve">[표1] </t>
    <phoneticPr fontId="3" type="noConversion"/>
  </si>
  <si>
    <t xml:space="preserve">[표2] </t>
    <phoneticPr fontId="3" type="noConversion"/>
  </si>
  <si>
    <t>품목명</t>
    <phoneticPr fontId="3" type="noConversion"/>
  </si>
  <si>
    <t>판매수량</t>
    <phoneticPr fontId="3" type="noConversion"/>
  </si>
  <si>
    <t>판매금액</t>
    <phoneticPr fontId="3" type="noConversion"/>
  </si>
  <si>
    <t>이익금액</t>
    <phoneticPr fontId="3" type="noConversion"/>
  </si>
  <si>
    <t>낙하회수</t>
    <phoneticPr fontId="3" type="noConversion"/>
  </si>
  <si>
    <t>인원수</t>
    <phoneticPr fontId="3" type="noConversion"/>
  </si>
  <si>
    <t>누적인원수</t>
    <phoneticPr fontId="3" type="noConversion"/>
  </si>
  <si>
    <t>누계비율</t>
    <phoneticPr fontId="3" type="noConversion"/>
  </si>
  <si>
    <t>샤프</t>
    <phoneticPr fontId="3" type="noConversion"/>
  </si>
  <si>
    <t>3000이상</t>
    <phoneticPr fontId="3" type="noConversion"/>
  </si>
  <si>
    <t>연필</t>
    <phoneticPr fontId="3" type="noConversion"/>
  </si>
  <si>
    <t>1000이상</t>
    <phoneticPr fontId="3" type="noConversion"/>
  </si>
  <si>
    <t>만년필</t>
    <phoneticPr fontId="3" type="noConversion"/>
  </si>
  <si>
    <t>500이상</t>
    <phoneticPr fontId="3" type="noConversion"/>
  </si>
  <si>
    <t>색연필</t>
    <phoneticPr fontId="3" type="noConversion"/>
  </si>
  <si>
    <t>100이상</t>
    <phoneticPr fontId="3" type="noConversion"/>
  </si>
  <si>
    <t>볼펜</t>
    <phoneticPr fontId="3" type="noConversion"/>
  </si>
  <si>
    <t>10이상</t>
    <phoneticPr fontId="3" type="noConversion"/>
  </si>
  <si>
    <t>플러스펜</t>
    <phoneticPr fontId="3" type="noConversion"/>
  </si>
  <si>
    <t>합계</t>
    <phoneticPr fontId="3" type="noConversion"/>
  </si>
  <si>
    <t>마진율</t>
    <phoneticPr fontId="3" type="noConversion"/>
  </si>
  <si>
    <t>성명</t>
    <phoneticPr fontId="3" type="noConversion"/>
  </si>
  <si>
    <t>1월</t>
    <phoneticPr fontId="3" type="noConversion"/>
  </si>
  <si>
    <t>2월</t>
    <phoneticPr fontId="3" type="noConversion"/>
  </si>
  <si>
    <t>3월</t>
    <phoneticPr fontId="3" type="noConversion"/>
  </si>
  <si>
    <t>4월</t>
    <phoneticPr fontId="3" type="noConversion"/>
  </si>
  <si>
    <t>오늘의 날짜</t>
    <phoneticPr fontId="3" type="noConversion"/>
  </si>
  <si>
    <t>오늘의 날짜와 시간</t>
    <phoneticPr fontId="3" type="noConversion"/>
  </si>
  <si>
    <t>표시 부분</t>
    <phoneticPr fontId="3" type="noConversion"/>
  </si>
  <si>
    <t>결과</t>
    <phoneticPr fontId="3" type="noConversion"/>
  </si>
  <si>
    <t>연도(YEAR)</t>
    <phoneticPr fontId="3" type="noConversion"/>
  </si>
  <si>
    <t>월(MONTH)</t>
    <phoneticPr fontId="3" type="noConversion"/>
  </si>
  <si>
    <t>일(DAY)</t>
    <phoneticPr fontId="3" type="noConversion"/>
  </si>
  <si>
    <t>시(HOUR)</t>
    <phoneticPr fontId="3" type="noConversion"/>
  </si>
  <si>
    <t>분(MINUTE)</t>
    <phoneticPr fontId="3" type="noConversion"/>
  </si>
  <si>
    <t>초(SECOND)</t>
    <phoneticPr fontId="3" type="noConversion"/>
  </si>
  <si>
    <t>날짜(DATE)</t>
    <phoneticPr fontId="3" type="noConversion"/>
  </si>
  <si>
    <t>시간(TIME)</t>
    <phoneticPr fontId="3" type="noConversion"/>
  </si>
  <si>
    <t>요일(WEEKDAY)</t>
    <phoneticPr fontId="3" type="noConversion"/>
  </si>
  <si>
    <t>[표1]</t>
    <phoneticPr fontId="3" type="noConversion"/>
  </si>
  <si>
    <t>구입일</t>
    <phoneticPr fontId="3" type="noConversion"/>
  </si>
  <si>
    <t>구입품목</t>
    <phoneticPr fontId="3" type="noConversion"/>
  </si>
  <si>
    <t>가격</t>
    <phoneticPr fontId="3" type="noConversion"/>
  </si>
  <si>
    <t>결제일1(EDATE)</t>
    <phoneticPr fontId="3" type="noConversion"/>
  </si>
  <si>
    <t>결제일2(EOMONTH)</t>
    <phoneticPr fontId="3" type="noConversion"/>
  </si>
  <si>
    <t>침구청소기</t>
    <phoneticPr fontId="3" type="noConversion"/>
  </si>
  <si>
    <t>냉장고</t>
    <phoneticPr fontId="3" type="noConversion"/>
  </si>
  <si>
    <t>청소기</t>
    <phoneticPr fontId="3" type="noConversion"/>
  </si>
  <si>
    <t>제습기</t>
    <phoneticPr fontId="3" type="noConversion"/>
  </si>
  <si>
    <t>에어컨</t>
    <phoneticPr fontId="3" type="noConversion"/>
  </si>
  <si>
    <t>선풍기</t>
    <phoneticPr fontId="3" type="noConversion"/>
  </si>
  <si>
    <t>[표2]</t>
    <phoneticPr fontId="3" type="noConversion"/>
  </si>
  <si>
    <t>주문일</t>
    <phoneticPr fontId="3" type="noConversion"/>
  </si>
  <si>
    <t>배송기간</t>
    <phoneticPr fontId="3" type="noConversion"/>
  </si>
  <si>
    <t>배송 예정일</t>
    <phoneticPr fontId="3" type="noConversion"/>
  </si>
  <si>
    <t>[표3]</t>
    <phoneticPr fontId="3" type="noConversion"/>
  </si>
  <si>
    <t>성명</t>
  </si>
  <si>
    <t>1-K001</t>
  </si>
  <si>
    <t>1-K002</t>
  </si>
  <si>
    <t>1-K003</t>
  </si>
  <si>
    <t>1-K004</t>
  </si>
  <si>
    <t>2-K001</t>
  </si>
  <si>
    <t>2-K002</t>
  </si>
  <si>
    <t>2-K003</t>
  </si>
  <si>
    <t>이세민</t>
  </si>
  <si>
    <t>이태건</t>
  </si>
  <si>
    <t>오유진</t>
  </si>
  <si>
    <t>김주원</t>
  </si>
  <si>
    <t>김슬기</t>
  </si>
  <si>
    <t>황지호</t>
  </si>
  <si>
    <t>임효진</t>
  </si>
  <si>
    <t>김종욱</t>
  </si>
  <si>
    <t>최혁재</t>
  </si>
  <si>
    <t>[표1]</t>
    <phoneticPr fontId="3" type="noConversion"/>
  </si>
  <si>
    <t>[표2]</t>
    <phoneticPr fontId="3" type="noConversion"/>
  </si>
  <si>
    <t>수험번호</t>
    <phoneticPr fontId="3" type="noConversion"/>
  </si>
  <si>
    <t>이름</t>
    <phoneticPr fontId="3" type="noConversion"/>
  </si>
  <si>
    <t>점수</t>
    <phoneticPr fontId="3" type="noConversion"/>
  </si>
  <si>
    <t>평가</t>
    <phoneticPr fontId="3" type="noConversion"/>
  </si>
  <si>
    <t>최종성적</t>
    <phoneticPr fontId="3" type="noConversion"/>
  </si>
  <si>
    <t>부서배치</t>
    <phoneticPr fontId="3" type="noConversion"/>
  </si>
  <si>
    <t>이나영</t>
    <phoneticPr fontId="3" type="noConversion"/>
  </si>
  <si>
    <t>오나라</t>
    <phoneticPr fontId="3" type="noConversion"/>
  </si>
  <si>
    <t>추영조</t>
    <phoneticPr fontId="3" type="noConversion"/>
  </si>
  <si>
    <t>유채화</t>
    <phoneticPr fontId="3" type="noConversion"/>
  </si>
  <si>
    <t>탁수민</t>
    <phoneticPr fontId="3" type="noConversion"/>
  </si>
  <si>
    <t>김사랑</t>
    <phoneticPr fontId="3" type="noConversion"/>
  </si>
  <si>
    <t>강전한</t>
    <phoneticPr fontId="3" type="noConversion"/>
  </si>
  <si>
    <t>한나리</t>
    <phoneticPr fontId="3" type="noConversion"/>
  </si>
  <si>
    <t>김이중</t>
    <phoneticPr fontId="3" type="noConversion"/>
  </si>
  <si>
    <t>조절해</t>
    <phoneticPr fontId="3" type="noConversion"/>
  </si>
  <si>
    <t>전대철</t>
    <phoneticPr fontId="3" type="noConversion"/>
  </si>
  <si>
    <t>사오정</t>
    <phoneticPr fontId="3" type="noConversion"/>
  </si>
  <si>
    <t>사은봉</t>
    <phoneticPr fontId="3" type="noConversion"/>
  </si>
  <si>
    <t>금나라</t>
    <phoneticPr fontId="3" type="noConversion"/>
  </si>
  <si>
    <t>노영철</t>
    <phoneticPr fontId="3" type="noConversion"/>
  </si>
  <si>
    <t>면도영</t>
    <phoneticPr fontId="3" type="noConversion"/>
  </si>
  <si>
    <t>[표3]</t>
    <phoneticPr fontId="3" type="noConversion"/>
  </si>
  <si>
    <t>[표4]</t>
    <phoneticPr fontId="3" type="noConversion"/>
  </si>
  <si>
    <t>직원코드</t>
    <phoneticPr fontId="3" type="noConversion"/>
  </si>
  <si>
    <t>근무년수</t>
    <phoneticPr fontId="3" type="noConversion"/>
  </si>
  <si>
    <t>판매부수</t>
    <phoneticPr fontId="3" type="noConversion"/>
  </si>
  <si>
    <t>승진여부</t>
    <phoneticPr fontId="3" type="noConversion"/>
  </si>
  <si>
    <t>연수번호</t>
    <phoneticPr fontId="3" type="noConversion"/>
  </si>
  <si>
    <t>성명</t>
    <phoneticPr fontId="3" type="noConversion"/>
  </si>
  <si>
    <t>컴일</t>
    <phoneticPr fontId="3" type="noConversion"/>
  </si>
  <si>
    <t>시트</t>
    <phoneticPr fontId="3" type="noConversion"/>
  </si>
  <si>
    <t>강구석</t>
    <phoneticPr fontId="3" type="noConversion"/>
  </si>
  <si>
    <t>이지나</t>
    <phoneticPr fontId="3" type="noConversion"/>
  </si>
  <si>
    <t>남인성</t>
    <phoneticPr fontId="3" type="noConversion"/>
  </si>
  <si>
    <t>오지혜</t>
    <phoneticPr fontId="3" type="noConversion"/>
  </si>
  <si>
    <t>류민철</t>
    <phoneticPr fontId="3" type="noConversion"/>
  </si>
  <si>
    <t>김동석</t>
    <phoneticPr fontId="3" type="noConversion"/>
  </si>
  <si>
    <t>사인구</t>
    <phoneticPr fontId="3" type="noConversion"/>
  </si>
  <si>
    <t>푸영아</t>
    <phoneticPr fontId="3" type="noConversion"/>
  </si>
  <si>
    <t>[표5]</t>
    <phoneticPr fontId="3" type="noConversion"/>
  </si>
  <si>
    <t>한남석</t>
    <phoneticPr fontId="3" type="noConversion"/>
  </si>
  <si>
    <t>기본급</t>
    <phoneticPr fontId="3" type="noConversion"/>
  </si>
  <si>
    <t>가족수당</t>
    <phoneticPr fontId="3" type="noConversion"/>
  </si>
  <si>
    <t>인원</t>
    <phoneticPr fontId="3" type="noConversion"/>
  </si>
  <si>
    <t>금액</t>
    <phoneticPr fontId="3" type="noConversion"/>
  </si>
  <si>
    <t>없음</t>
    <phoneticPr fontId="3" type="noConversion"/>
  </si>
  <si>
    <t>없음</t>
    <phoneticPr fontId="3" type="noConversion"/>
  </si>
  <si>
    <t>[표1]</t>
    <phoneticPr fontId="3" type="noConversion"/>
  </si>
  <si>
    <t>[표2]</t>
    <phoneticPr fontId="3" type="noConversion"/>
  </si>
  <si>
    <t>성명</t>
    <phoneticPr fontId="3" type="noConversion"/>
  </si>
  <si>
    <t>응시구분</t>
    <phoneticPr fontId="3" type="noConversion"/>
  </si>
  <si>
    <t>1차</t>
    <phoneticPr fontId="3" type="noConversion"/>
  </si>
  <si>
    <t>2차</t>
    <phoneticPr fontId="3" type="noConversion"/>
  </si>
  <si>
    <t>대리점</t>
    <phoneticPr fontId="3" type="noConversion"/>
  </si>
  <si>
    <t>단가</t>
    <phoneticPr fontId="3" type="noConversion"/>
  </si>
  <si>
    <t>출고수량</t>
    <phoneticPr fontId="3" type="noConversion"/>
  </si>
  <si>
    <t>판매금액</t>
    <phoneticPr fontId="3" type="noConversion"/>
  </si>
  <si>
    <t>한가람</t>
    <phoneticPr fontId="3" type="noConversion"/>
  </si>
  <si>
    <t>금성물산</t>
    <phoneticPr fontId="3" type="noConversion"/>
  </si>
  <si>
    <t>김은철</t>
    <phoneticPr fontId="3" type="noConversion"/>
  </si>
  <si>
    <t>우주상사</t>
    <phoneticPr fontId="3" type="noConversion"/>
  </si>
  <si>
    <t>고사리</t>
    <phoneticPr fontId="3" type="noConversion"/>
  </si>
  <si>
    <t>신안공업</t>
    <phoneticPr fontId="3" type="noConversion"/>
  </si>
  <si>
    <t>박은별</t>
    <phoneticPr fontId="3" type="noConversion"/>
  </si>
  <si>
    <t>삼성상사</t>
    <phoneticPr fontId="3" type="noConversion"/>
  </si>
  <si>
    <t>성준서</t>
    <phoneticPr fontId="3" type="noConversion"/>
  </si>
  <si>
    <t>이성연</t>
    <phoneticPr fontId="3" type="noConversion"/>
  </si>
  <si>
    <t>박한나</t>
    <phoneticPr fontId="3" type="noConversion"/>
  </si>
  <si>
    <t>이미리</t>
    <phoneticPr fontId="3" type="noConversion"/>
  </si>
  <si>
    <t>종로상사</t>
    <phoneticPr fontId="3" type="noConversion"/>
  </si>
  <si>
    <t>P-1의 1차 평균</t>
    <phoneticPr fontId="3" type="noConversion"/>
  </si>
  <si>
    <t>금성물산 판매금액 합계</t>
    <phoneticPr fontId="3" type="noConversion"/>
  </si>
  <si>
    <t>[표3]</t>
    <phoneticPr fontId="3" type="noConversion"/>
  </si>
  <si>
    <t>[표4]</t>
    <phoneticPr fontId="3" type="noConversion"/>
  </si>
  <si>
    <t>부서</t>
    <phoneticPr fontId="3" type="noConversion"/>
  </si>
  <si>
    <t>1/4분기</t>
    <phoneticPr fontId="3" type="noConversion"/>
  </si>
  <si>
    <t>2/4분기</t>
    <phoneticPr fontId="3" type="noConversion"/>
  </si>
  <si>
    <t>소속</t>
    <phoneticPr fontId="3" type="noConversion"/>
  </si>
  <si>
    <t>기사</t>
    <phoneticPr fontId="3" type="noConversion"/>
  </si>
  <si>
    <t>우승횟수</t>
    <phoneticPr fontId="3" type="noConversion"/>
  </si>
  <si>
    <t>준우승횟수</t>
    <phoneticPr fontId="3" type="noConversion"/>
  </si>
  <si>
    <t>김남이</t>
    <phoneticPr fontId="3" type="noConversion"/>
  </si>
  <si>
    <t>영업1부</t>
    <phoneticPr fontId="3" type="noConversion"/>
  </si>
  <si>
    <t>상공</t>
    <phoneticPr fontId="3" type="noConversion"/>
  </si>
  <si>
    <t>김기호</t>
    <phoneticPr fontId="3" type="noConversion"/>
  </si>
  <si>
    <t>이지영</t>
    <phoneticPr fontId="3" type="noConversion"/>
  </si>
  <si>
    <t>영업2부</t>
    <phoneticPr fontId="3" type="noConversion"/>
  </si>
  <si>
    <t>대한</t>
    <phoneticPr fontId="3" type="noConversion"/>
  </si>
  <si>
    <t>최종명</t>
    <phoneticPr fontId="3" type="noConversion"/>
  </si>
  <si>
    <t>하나미</t>
    <phoneticPr fontId="3" type="noConversion"/>
  </si>
  <si>
    <t>나필승</t>
    <phoneticPr fontId="3" type="noConversion"/>
  </si>
  <si>
    <t>임진태</t>
    <phoneticPr fontId="3" type="noConversion"/>
  </si>
  <si>
    <t>서울</t>
    <phoneticPr fontId="3" type="noConversion"/>
  </si>
  <si>
    <t>고대로</t>
    <phoneticPr fontId="3" type="noConversion"/>
  </si>
  <si>
    <t>현민대</t>
    <phoneticPr fontId="3" type="noConversion"/>
  </si>
  <si>
    <t>정상승</t>
    <phoneticPr fontId="3" type="noConversion"/>
  </si>
  <si>
    <t>한민국</t>
    <phoneticPr fontId="3" type="noConversion"/>
  </si>
  <si>
    <t>채고다</t>
    <phoneticPr fontId="3" type="noConversion"/>
  </si>
  <si>
    <t>대한팀 우승횟수</t>
    <phoneticPr fontId="3" type="noConversion"/>
  </si>
  <si>
    <t>[표5]</t>
    <phoneticPr fontId="3" type="noConversion"/>
  </si>
  <si>
    <t>[표6]</t>
    <phoneticPr fontId="3" type="noConversion"/>
  </si>
  <si>
    <t>학과</t>
    <phoneticPr fontId="3" type="noConversion"/>
  </si>
  <si>
    <t>학년</t>
    <phoneticPr fontId="3" type="noConversion"/>
  </si>
  <si>
    <t>평가점수</t>
    <phoneticPr fontId="3" type="noConversion"/>
  </si>
  <si>
    <t>직원코드</t>
    <phoneticPr fontId="3" type="noConversion"/>
  </si>
  <si>
    <t>1사분기</t>
    <phoneticPr fontId="3" type="noConversion"/>
  </si>
  <si>
    <t>2사분기</t>
    <phoneticPr fontId="3" type="noConversion"/>
  </si>
  <si>
    <t>상반기합계</t>
    <phoneticPr fontId="3" type="noConversion"/>
  </si>
  <si>
    <t>디자인</t>
    <phoneticPr fontId="3" type="noConversion"/>
  </si>
  <si>
    <t>고승수</t>
    <phoneticPr fontId="3" type="noConversion"/>
  </si>
  <si>
    <t>1-J001</t>
    <phoneticPr fontId="3" type="noConversion"/>
  </si>
  <si>
    <t>미디어</t>
    <phoneticPr fontId="3" type="noConversion"/>
  </si>
  <si>
    <t>구만리</t>
    <phoneticPr fontId="3" type="noConversion"/>
  </si>
  <si>
    <t>1-J002</t>
  </si>
  <si>
    <t>노상식</t>
    <phoneticPr fontId="3" type="noConversion"/>
  </si>
  <si>
    <t>1-J003</t>
  </si>
  <si>
    <t>나잘난</t>
    <phoneticPr fontId="3" type="noConversion"/>
  </si>
  <si>
    <t>1-J004</t>
  </si>
  <si>
    <t>마고수</t>
    <phoneticPr fontId="3" type="noConversion"/>
  </si>
  <si>
    <t>2-J001</t>
    <phoneticPr fontId="3" type="noConversion"/>
  </si>
  <si>
    <t>박흥철</t>
    <phoneticPr fontId="3" type="noConversion"/>
  </si>
  <si>
    <t>2-J002</t>
  </si>
  <si>
    <t>사수해</t>
    <phoneticPr fontId="3" type="noConversion"/>
  </si>
  <si>
    <t>2-J003</t>
  </si>
  <si>
    <t>50000~100000의 합</t>
    <phoneticPr fontId="3" type="noConversion"/>
  </si>
  <si>
    <t>[표1]</t>
    <phoneticPr fontId="3" type="noConversion"/>
  </si>
  <si>
    <t>[표2]</t>
    <phoneticPr fontId="3" type="noConversion"/>
  </si>
  <si>
    <t>성명</t>
    <phoneticPr fontId="3" type="noConversion"/>
  </si>
  <si>
    <t>응시구분</t>
    <phoneticPr fontId="3" type="noConversion"/>
  </si>
  <si>
    <t>1차</t>
    <phoneticPr fontId="3" type="noConversion"/>
  </si>
  <si>
    <t>2차</t>
    <phoneticPr fontId="3" type="noConversion"/>
  </si>
  <si>
    <t>대리점</t>
    <phoneticPr fontId="3" type="noConversion"/>
  </si>
  <si>
    <t>단가</t>
    <phoneticPr fontId="3" type="noConversion"/>
  </si>
  <si>
    <t>출고수량</t>
    <phoneticPr fontId="3" type="noConversion"/>
  </si>
  <si>
    <t>판매금액</t>
    <phoneticPr fontId="3" type="noConversion"/>
  </si>
  <si>
    <t>한가람</t>
    <phoneticPr fontId="3" type="noConversion"/>
  </si>
  <si>
    <r>
      <t>P</t>
    </r>
    <r>
      <rPr>
        <sz val="11"/>
        <color theme="1"/>
        <rFont val="맑은 고딕"/>
        <family val="3"/>
        <charset val="129"/>
        <scheme val="minor"/>
      </rPr>
      <t>-1</t>
    </r>
    <phoneticPr fontId="3" type="noConversion"/>
  </si>
  <si>
    <t>금성물산</t>
    <phoneticPr fontId="3" type="noConversion"/>
  </si>
  <si>
    <t>김은철</t>
    <phoneticPr fontId="3" type="noConversion"/>
  </si>
  <si>
    <r>
      <t>P</t>
    </r>
    <r>
      <rPr>
        <sz val="11"/>
        <color theme="1"/>
        <rFont val="맑은 고딕"/>
        <family val="3"/>
        <charset val="129"/>
        <scheme val="minor"/>
      </rPr>
      <t>-2</t>
    </r>
    <r>
      <rPr>
        <sz val="11"/>
        <color theme="1"/>
        <rFont val="맑은 고딕"/>
        <family val="2"/>
        <charset val="129"/>
        <scheme val="minor"/>
      </rPr>
      <t/>
    </r>
  </si>
  <si>
    <t>우주상사</t>
    <phoneticPr fontId="3" type="noConversion"/>
  </si>
  <si>
    <t>고사리</t>
    <phoneticPr fontId="3" type="noConversion"/>
  </si>
  <si>
    <t>신안공업</t>
    <phoneticPr fontId="3" type="noConversion"/>
  </si>
  <si>
    <t>박은별</t>
    <phoneticPr fontId="3" type="noConversion"/>
  </si>
  <si>
    <t>삼성상사</t>
    <phoneticPr fontId="3" type="noConversion"/>
  </si>
  <si>
    <t>성준서</t>
    <phoneticPr fontId="3" type="noConversion"/>
  </si>
  <si>
    <t>이성연</t>
    <phoneticPr fontId="3" type="noConversion"/>
  </si>
  <si>
    <t>박한나</t>
    <phoneticPr fontId="3" type="noConversion"/>
  </si>
  <si>
    <t>이미리</t>
    <phoneticPr fontId="3" type="noConversion"/>
  </si>
  <si>
    <t>종로상사</t>
    <phoneticPr fontId="3" type="noConversion"/>
  </si>
  <si>
    <t>P-1의 1차 평균</t>
    <phoneticPr fontId="3" type="noConversion"/>
  </si>
  <si>
    <t>금성물산 판매금액 합계</t>
    <phoneticPr fontId="3" type="noConversion"/>
  </si>
  <si>
    <t>[표3]</t>
    <phoneticPr fontId="3" type="noConversion"/>
  </si>
  <si>
    <t>[표4]</t>
    <phoneticPr fontId="3" type="noConversion"/>
  </si>
  <si>
    <t>부서</t>
    <phoneticPr fontId="3" type="noConversion"/>
  </si>
  <si>
    <t>1/4분기</t>
    <phoneticPr fontId="3" type="noConversion"/>
  </si>
  <si>
    <t>2/4분기</t>
    <phoneticPr fontId="3" type="noConversion"/>
  </si>
  <si>
    <t>소속</t>
    <phoneticPr fontId="3" type="noConversion"/>
  </si>
  <si>
    <t>기사</t>
    <phoneticPr fontId="3" type="noConversion"/>
  </si>
  <si>
    <t>우승횟수</t>
    <phoneticPr fontId="3" type="noConversion"/>
  </si>
  <si>
    <t>준우승횟수</t>
    <phoneticPr fontId="3" type="noConversion"/>
  </si>
  <si>
    <t>김남이</t>
    <phoneticPr fontId="3" type="noConversion"/>
  </si>
  <si>
    <t>영업1부</t>
    <phoneticPr fontId="3" type="noConversion"/>
  </si>
  <si>
    <t>상공</t>
    <phoneticPr fontId="3" type="noConversion"/>
  </si>
  <si>
    <t>김기호</t>
    <phoneticPr fontId="3" type="noConversion"/>
  </si>
  <si>
    <t>이지영</t>
    <phoneticPr fontId="3" type="noConversion"/>
  </si>
  <si>
    <t>영업2부</t>
    <phoneticPr fontId="3" type="noConversion"/>
  </si>
  <si>
    <t>대한</t>
    <phoneticPr fontId="3" type="noConversion"/>
  </si>
  <si>
    <t>최종명</t>
    <phoneticPr fontId="3" type="noConversion"/>
  </si>
  <si>
    <t>하나미</t>
    <phoneticPr fontId="3" type="noConversion"/>
  </si>
  <si>
    <t>나필승</t>
    <phoneticPr fontId="3" type="noConversion"/>
  </si>
  <si>
    <t>임진태</t>
    <phoneticPr fontId="3" type="noConversion"/>
  </si>
  <si>
    <t>서울</t>
    <phoneticPr fontId="3" type="noConversion"/>
  </si>
  <si>
    <t>고대로</t>
    <phoneticPr fontId="3" type="noConversion"/>
  </si>
  <si>
    <t>현민대</t>
    <phoneticPr fontId="3" type="noConversion"/>
  </si>
  <si>
    <t>정상승</t>
    <phoneticPr fontId="3" type="noConversion"/>
  </si>
  <si>
    <t>한민국</t>
    <phoneticPr fontId="3" type="noConversion"/>
  </si>
  <si>
    <t>채고다</t>
    <phoneticPr fontId="3" type="noConversion"/>
  </si>
  <si>
    <t>대한팀 우승횟수</t>
    <phoneticPr fontId="3" type="noConversion"/>
  </si>
  <si>
    <t>[표5]</t>
    <phoneticPr fontId="3" type="noConversion"/>
  </si>
  <si>
    <t>[표6]</t>
    <phoneticPr fontId="3" type="noConversion"/>
  </si>
  <si>
    <t>학과</t>
    <phoneticPr fontId="3" type="noConversion"/>
  </si>
  <si>
    <t>학년</t>
    <phoneticPr fontId="3" type="noConversion"/>
  </si>
  <si>
    <t>평가점수</t>
    <phoneticPr fontId="3" type="noConversion"/>
  </si>
  <si>
    <t>직원코드</t>
    <phoneticPr fontId="3" type="noConversion"/>
  </si>
  <si>
    <t>1사분기</t>
    <phoneticPr fontId="3" type="noConversion"/>
  </si>
  <si>
    <t>2사분기</t>
    <phoneticPr fontId="3" type="noConversion"/>
  </si>
  <si>
    <t>상반기합계</t>
    <phoneticPr fontId="3" type="noConversion"/>
  </si>
  <si>
    <t>디자인</t>
    <phoneticPr fontId="3" type="noConversion"/>
  </si>
  <si>
    <t>고승수</t>
    <phoneticPr fontId="3" type="noConversion"/>
  </si>
  <si>
    <t>1-J001</t>
    <phoneticPr fontId="3" type="noConversion"/>
  </si>
  <si>
    <t>미디어</t>
    <phoneticPr fontId="3" type="noConversion"/>
  </si>
  <si>
    <t>구만리</t>
    <phoneticPr fontId="3" type="noConversion"/>
  </si>
  <si>
    <t>노상식</t>
    <phoneticPr fontId="3" type="noConversion"/>
  </si>
  <si>
    <t>나잘난</t>
    <phoneticPr fontId="3" type="noConversion"/>
  </si>
  <si>
    <t>마고수</t>
    <phoneticPr fontId="3" type="noConversion"/>
  </si>
  <si>
    <t>2-J001</t>
    <phoneticPr fontId="3" type="noConversion"/>
  </si>
  <si>
    <t>박흥철</t>
    <phoneticPr fontId="3" type="noConversion"/>
  </si>
  <si>
    <t>사수해</t>
    <phoneticPr fontId="3" type="noConversion"/>
  </si>
  <si>
    <t>50000~100000의 합</t>
    <phoneticPr fontId="3" type="noConversion"/>
  </si>
  <si>
    <t>&gt;=5</t>
    <phoneticPr fontId="3" type="noConversion"/>
  </si>
  <si>
    <t>&gt;=400</t>
    <phoneticPr fontId="3" type="noConversion"/>
  </si>
  <si>
    <t>&gt;=50000</t>
    <phoneticPr fontId="3" type="noConversion"/>
  </si>
  <si>
    <t>&lt;=100000</t>
    <phoneticPr fontId="3" type="noConversion"/>
  </si>
  <si>
    <r>
      <t>P</t>
    </r>
    <r>
      <rPr>
        <sz val="11"/>
        <color theme="1"/>
        <rFont val="맑은 고딕"/>
        <family val="3"/>
        <charset val="129"/>
        <scheme val="minor"/>
      </rPr>
      <t>-1</t>
    </r>
    <phoneticPr fontId="3" type="noConversion"/>
  </si>
  <si>
    <t>주민등록번호</t>
    <phoneticPr fontId="3" type="noConversion"/>
  </si>
  <si>
    <t>생년월일</t>
    <phoneticPr fontId="3" type="noConversion"/>
  </si>
  <si>
    <t>성별</t>
    <phoneticPr fontId="3" type="noConversion"/>
  </si>
  <si>
    <t>나이</t>
    <phoneticPr fontId="3" type="noConversion"/>
  </si>
  <si>
    <t>심행래</t>
    <phoneticPr fontId="3" type="noConversion"/>
  </si>
  <si>
    <t>650218-1584623</t>
    <phoneticPr fontId="3" type="noConversion"/>
  </si>
  <si>
    <t>김봉현</t>
    <phoneticPr fontId="3" type="noConversion"/>
  </si>
  <si>
    <t>601204-1864523</t>
    <phoneticPr fontId="3" type="noConversion"/>
  </si>
  <si>
    <t>이찬호</t>
    <phoneticPr fontId="3" type="noConversion"/>
  </si>
  <si>
    <t>620718-1845237</t>
    <phoneticPr fontId="3" type="noConversion"/>
  </si>
  <si>
    <t>박이슈</t>
    <phoneticPr fontId="3" type="noConversion"/>
  </si>
  <si>
    <t>720124-2356427</t>
    <phoneticPr fontId="3" type="noConversion"/>
  </si>
  <si>
    <t>이장군</t>
    <phoneticPr fontId="3" type="noConversion"/>
  </si>
  <si>
    <t>730512-1845615</t>
    <phoneticPr fontId="3" type="noConversion"/>
  </si>
  <si>
    <t>황건이</t>
    <phoneticPr fontId="3" type="noConversion"/>
  </si>
  <si>
    <t>760314-1875234</t>
    <phoneticPr fontId="3" type="noConversion"/>
  </si>
  <si>
    <t>이율용</t>
    <phoneticPr fontId="3" type="noConversion"/>
  </si>
  <si>
    <t>660217-2485628</t>
    <phoneticPr fontId="3" type="noConversion"/>
  </si>
  <si>
    <t>장보가</t>
    <phoneticPr fontId="3" type="noConversion"/>
  </si>
  <si>
    <t>710523-2784652</t>
    <phoneticPr fontId="3" type="noConversion"/>
  </si>
  <si>
    <t>서정수</t>
    <phoneticPr fontId="3" type="noConversion"/>
  </si>
  <si>
    <t>640819-1864521</t>
    <phoneticPr fontId="3" type="noConversion"/>
  </si>
  <si>
    <t>왕순원</t>
    <phoneticPr fontId="3" type="noConversion"/>
  </si>
  <si>
    <t>610126-2845967</t>
    <phoneticPr fontId="3" type="noConversion"/>
  </si>
  <si>
    <t>박목일</t>
    <phoneticPr fontId="3" type="noConversion"/>
  </si>
  <si>
    <t>740630-1875241</t>
    <phoneticPr fontId="3" type="noConversion"/>
  </si>
  <si>
    <t>예제</t>
    <phoneticPr fontId="3" type="noConversion"/>
  </si>
  <si>
    <t>LOWER</t>
    <phoneticPr fontId="3" type="noConversion"/>
  </si>
  <si>
    <t>UPPER</t>
    <phoneticPr fontId="3" type="noConversion"/>
  </si>
  <si>
    <t>PROPER</t>
    <phoneticPr fontId="3" type="noConversion"/>
  </si>
  <si>
    <t>TRIM</t>
    <phoneticPr fontId="3" type="noConversion"/>
  </si>
  <si>
    <t>AaAa    a</t>
    <phoneticPr fontId="3" type="noConversion"/>
  </si>
  <si>
    <t>BB   bbb</t>
    <phoneticPr fontId="3" type="noConversion"/>
  </si>
  <si>
    <t>CCC  cc</t>
    <phoneticPr fontId="3" type="noConversion"/>
  </si>
  <si>
    <t>D   dDdD</t>
    <phoneticPr fontId="3" type="noConversion"/>
  </si>
  <si>
    <t>EE  eee</t>
    <phoneticPr fontId="3" type="noConversion"/>
  </si>
  <si>
    <t>찾을 문자열</t>
    <phoneticPr fontId="3" type="noConversion"/>
  </si>
  <si>
    <t>대상</t>
    <phoneticPr fontId="3" type="noConversion"/>
  </si>
  <si>
    <t>문자의 위치(FIND)</t>
    <phoneticPr fontId="3" type="noConversion"/>
  </si>
  <si>
    <t>문자의 위치(SEARCH)</t>
    <phoneticPr fontId="3" type="noConversion"/>
  </si>
  <si>
    <t>EXCEL</t>
    <phoneticPr fontId="3" type="noConversion"/>
  </si>
  <si>
    <t>Microsoft Excel 2007</t>
    <phoneticPr fontId="3" type="noConversion"/>
  </si>
  <si>
    <t>POINT</t>
    <phoneticPr fontId="3" type="noConversion"/>
  </si>
  <si>
    <t>MICROSOFT POWERPOINT 2007</t>
    <phoneticPr fontId="3" type="noConversion"/>
  </si>
  <si>
    <t>Soft</t>
    <phoneticPr fontId="3" type="noConversion"/>
  </si>
  <si>
    <t>microsoft access 2007</t>
    <phoneticPr fontId="3" type="noConversion"/>
  </si>
  <si>
    <t>서초동</t>
    <phoneticPr fontId="3" type="noConversion"/>
  </si>
  <si>
    <t>서울 서초구 서초동 1625-7</t>
    <phoneticPr fontId="3" type="noConversion"/>
  </si>
  <si>
    <t>전화번호 : 02-555-3029</t>
    <phoneticPr fontId="3" type="noConversion"/>
  </si>
  <si>
    <t>TRUNC</t>
  </si>
  <si>
    <r>
      <t>1</t>
    </r>
    <r>
      <rPr>
        <sz val="11"/>
        <color theme="1"/>
        <rFont val="맑은 고딕"/>
        <family val="3"/>
        <charset val="129"/>
        <scheme val="minor"/>
      </rPr>
      <t>)</t>
    </r>
    <phoneticPr fontId="3" type="noConversion"/>
  </si>
  <si>
    <t>숫자</t>
    <phoneticPr fontId="3" type="noConversion"/>
  </si>
  <si>
    <t>짝수/홀수</t>
    <phoneticPr fontId="3" type="noConversion"/>
  </si>
  <si>
    <r>
      <t>2</t>
    </r>
    <r>
      <rPr>
        <sz val="11"/>
        <color theme="1"/>
        <rFont val="맑은 고딕"/>
        <family val="3"/>
        <charset val="129"/>
        <scheme val="minor"/>
      </rPr>
      <t>)</t>
    </r>
    <phoneticPr fontId="3" type="noConversion"/>
  </si>
  <si>
    <t>자릿수</t>
    <phoneticPr fontId="3" type="noConversion"/>
  </si>
  <si>
    <t>ROUND</t>
    <phoneticPr fontId="3" type="noConversion"/>
  </si>
  <si>
    <t>ROUNDUP</t>
    <phoneticPr fontId="3" type="noConversion"/>
  </si>
  <si>
    <t>ROUNDDOWN</t>
    <phoneticPr fontId="3" type="noConversion"/>
  </si>
  <si>
    <r>
      <t>3</t>
    </r>
    <r>
      <rPr>
        <sz val="11"/>
        <color theme="1"/>
        <rFont val="맑은 고딕"/>
        <family val="3"/>
        <charset val="129"/>
        <scheme val="minor"/>
      </rPr>
      <t>)</t>
    </r>
    <phoneticPr fontId="3" type="noConversion"/>
  </si>
  <si>
    <t>INT</t>
    <phoneticPr fontId="3" type="noConversion"/>
  </si>
  <si>
    <t>ABS</t>
    <phoneticPr fontId="3" type="noConversion"/>
  </si>
  <si>
    <t>• SQRT</t>
    <phoneticPr fontId="3" type="noConversion"/>
  </si>
  <si>
    <t>• PI</t>
    <phoneticPr fontId="3" type="noConversion"/>
  </si>
  <si>
    <t>• FACT</t>
    <phoneticPr fontId="3" type="noConversion"/>
  </si>
  <si>
    <t>• RAND</t>
    <phoneticPr fontId="3" type="noConversion"/>
  </si>
  <si>
    <t>• POWER</t>
    <phoneticPr fontId="3" type="noConversion"/>
  </si>
  <si>
    <t>이름</t>
    <phoneticPr fontId="3" type="noConversion"/>
  </si>
  <si>
    <t>부서</t>
    <phoneticPr fontId="3" type="noConversion"/>
  </si>
  <si>
    <t>1월</t>
    <phoneticPr fontId="3" type="noConversion"/>
  </si>
  <si>
    <t>2월</t>
    <phoneticPr fontId="3" type="noConversion"/>
  </si>
  <si>
    <t>3월</t>
    <phoneticPr fontId="3" type="noConversion"/>
  </si>
  <si>
    <t>총합계</t>
    <phoneticPr fontId="3" type="noConversion"/>
  </si>
  <si>
    <t>총합계</t>
    <phoneticPr fontId="3" type="noConversion"/>
  </si>
  <si>
    <t>김상원</t>
    <phoneticPr fontId="3" type="noConversion"/>
  </si>
  <si>
    <t>김상원</t>
    <phoneticPr fontId="3" type="noConversion"/>
  </si>
  <si>
    <t>영업1부</t>
    <phoneticPr fontId="3" type="noConversion"/>
  </si>
  <si>
    <t>이갑봉</t>
    <phoneticPr fontId="3" type="noConversion"/>
  </si>
  <si>
    <t>영업2부</t>
    <phoneticPr fontId="3" type="noConversion"/>
  </si>
  <si>
    <t>강정희</t>
    <phoneticPr fontId="3" type="noConversion"/>
  </si>
  <si>
    <t>김동호</t>
    <phoneticPr fontId="3" type="noConversion"/>
  </si>
  <si>
    <t>이남주</t>
    <phoneticPr fontId="3" type="noConversion"/>
  </si>
  <si>
    <t>왕영애</t>
    <phoneticPr fontId="3" type="noConversion"/>
  </si>
  <si>
    <t>박효남</t>
    <phoneticPr fontId="3" type="noConversion"/>
  </si>
  <si>
    <t>인원</t>
    <phoneticPr fontId="3" type="noConversion"/>
  </si>
  <si>
    <t>1월합계</t>
    <phoneticPr fontId="3" type="noConversion"/>
  </si>
  <si>
    <t>2월합계</t>
    <phoneticPr fontId="3" type="noConversion"/>
  </si>
  <si>
    <t>3월합계</t>
    <phoneticPr fontId="3" type="noConversion"/>
  </si>
  <si>
    <t>1월~3월이 400 이상인 합계</t>
    <phoneticPr fontId="3" type="noConversion"/>
  </si>
  <si>
    <t>• SQRT</t>
    <phoneticPr fontId="3" type="noConversion"/>
  </si>
  <si>
    <t>• PI</t>
    <phoneticPr fontId="3" type="noConversion"/>
  </si>
  <si>
    <t>• RAND</t>
    <phoneticPr fontId="3" type="noConversion"/>
  </si>
  <si>
    <t>• POWER</t>
    <phoneticPr fontId="3" type="noConversion"/>
  </si>
  <si>
    <t>이갑봉</t>
    <phoneticPr fontId="3" type="noConversion"/>
  </si>
  <si>
    <t>영업2부</t>
    <phoneticPr fontId="3" type="noConversion"/>
  </si>
  <si>
    <t>강정희</t>
    <phoneticPr fontId="3" type="noConversion"/>
  </si>
  <si>
    <t>영업1부</t>
    <phoneticPr fontId="3" type="noConversion"/>
  </si>
  <si>
    <t>김동호</t>
    <phoneticPr fontId="3" type="noConversion"/>
  </si>
  <si>
    <t>이남주</t>
    <phoneticPr fontId="3" type="noConversion"/>
  </si>
  <si>
    <t>왕영애</t>
    <phoneticPr fontId="3" type="noConversion"/>
  </si>
  <si>
    <t>박효남</t>
    <phoneticPr fontId="3" type="noConversion"/>
  </si>
  <si>
    <t>부서</t>
    <phoneticPr fontId="3" type="noConversion"/>
  </si>
  <si>
    <t>인원</t>
    <phoneticPr fontId="3" type="noConversion"/>
  </si>
  <si>
    <t>1월합계</t>
    <phoneticPr fontId="3" type="noConversion"/>
  </si>
  <si>
    <t>2월합계</t>
    <phoneticPr fontId="3" type="noConversion"/>
  </si>
  <si>
    <t>3월합계</t>
    <phoneticPr fontId="3" type="noConversion"/>
  </si>
  <si>
    <t>1월~3월이 400 이상인 합계</t>
    <phoneticPr fontId="3" type="noConversion"/>
  </si>
  <si>
    <t>도서별 대출실적 합계</t>
  </si>
  <si>
    <t>신입사원 면접결과</t>
    <phoneticPr fontId="3" type="noConversion"/>
  </si>
  <si>
    <t>구분</t>
    <phoneticPr fontId="3" type="noConversion"/>
  </si>
  <si>
    <t>5월</t>
  </si>
  <si>
    <t>6월</t>
  </si>
  <si>
    <t>평균</t>
    <phoneticPr fontId="3" type="noConversion"/>
  </si>
  <si>
    <t>성명</t>
    <phoneticPr fontId="3" type="noConversion"/>
  </si>
  <si>
    <t>면접점수</t>
    <phoneticPr fontId="3" type="noConversion"/>
  </si>
  <si>
    <t>순위</t>
    <phoneticPr fontId="3" type="noConversion"/>
  </si>
  <si>
    <t>총서</t>
    <phoneticPr fontId="3" type="noConversion"/>
  </si>
  <si>
    <t>하길주</t>
    <phoneticPr fontId="3" type="noConversion"/>
  </si>
  <si>
    <t>사회과학</t>
    <phoneticPr fontId="3" type="noConversion"/>
  </si>
  <si>
    <t>이선호</t>
    <phoneticPr fontId="3" type="noConversion"/>
  </si>
  <si>
    <t>인문과학</t>
    <phoneticPr fontId="3" type="noConversion"/>
  </si>
  <si>
    <t>강성수</t>
    <phoneticPr fontId="3" type="noConversion"/>
  </si>
  <si>
    <t>공학</t>
    <phoneticPr fontId="3" type="noConversion"/>
  </si>
  <si>
    <t>김보견</t>
    <phoneticPr fontId="3" type="noConversion"/>
  </si>
  <si>
    <t>디자인</t>
    <phoneticPr fontId="3" type="noConversion"/>
  </si>
  <si>
    <t>천수만</t>
    <phoneticPr fontId="3" type="noConversion"/>
  </si>
  <si>
    <t>이소영</t>
    <phoneticPr fontId="3" type="noConversion"/>
  </si>
  <si>
    <t>[표3]</t>
    <phoneticPr fontId="3" type="noConversion"/>
  </si>
  <si>
    <t>직급별 연봉액</t>
    <phoneticPr fontId="3" type="noConversion"/>
  </si>
  <si>
    <t>맹순자</t>
    <phoneticPr fontId="3" type="noConversion"/>
  </si>
  <si>
    <t>성명</t>
    <phoneticPr fontId="3" type="noConversion"/>
  </si>
  <si>
    <t>직급</t>
    <phoneticPr fontId="3" type="noConversion"/>
  </si>
  <si>
    <t>연봉액</t>
    <phoneticPr fontId="3" type="noConversion"/>
  </si>
  <si>
    <t>전기수</t>
    <phoneticPr fontId="3" type="noConversion"/>
  </si>
  <si>
    <t>강희정</t>
    <phoneticPr fontId="3" type="noConversion"/>
  </si>
  <si>
    <t>부장</t>
    <phoneticPr fontId="3" type="noConversion"/>
  </si>
  <si>
    <t>김민수</t>
    <phoneticPr fontId="3" type="noConversion"/>
  </si>
  <si>
    <t>사원</t>
    <phoneticPr fontId="3" type="noConversion"/>
  </si>
  <si>
    <t>[표4]</t>
    <phoneticPr fontId="3" type="noConversion"/>
  </si>
  <si>
    <t>영진고등학교 2학년 모의고사 성적 현황</t>
    <phoneticPr fontId="3" type="noConversion"/>
  </si>
  <si>
    <t>나인성</t>
    <phoneticPr fontId="3" type="noConversion"/>
  </si>
  <si>
    <t>1차</t>
    <phoneticPr fontId="3" type="noConversion"/>
  </si>
  <si>
    <t>2차</t>
    <phoneticPr fontId="3" type="noConversion"/>
  </si>
  <si>
    <t>3차</t>
    <phoneticPr fontId="3" type="noConversion"/>
  </si>
  <si>
    <t>점수변동폭</t>
    <phoneticPr fontId="3" type="noConversion"/>
  </si>
  <si>
    <t>민성진</t>
    <phoneticPr fontId="3" type="noConversion"/>
  </si>
  <si>
    <t>대리</t>
    <phoneticPr fontId="3" type="noConversion"/>
  </si>
  <si>
    <t>배수진</t>
    <phoneticPr fontId="3" type="noConversion"/>
  </si>
  <si>
    <t>박정아</t>
    <phoneticPr fontId="3" type="noConversion"/>
  </si>
  <si>
    <t>과장</t>
    <phoneticPr fontId="3" type="noConversion"/>
  </si>
  <si>
    <t>강경화</t>
    <phoneticPr fontId="3" type="noConversion"/>
  </si>
  <si>
    <t>서진이</t>
    <phoneticPr fontId="3" type="noConversion"/>
  </si>
  <si>
    <t>사원</t>
    <phoneticPr fontId="3" type="noConversion"/>
  </si>
  <si>
    <t>김순응</t>
    <phoneticPr fontId="3" type="noConversion"/>
  </si>
  <si>
    <t>강창우</t>
    <phoneticPr fontId="3" type="noConversion"/>
  </si>
  <si>
    <t>이사</t>
    <phoneticPr fontId="3" type="noConversion"/>
  </si>
  <si>
    <t>고해진</t>
    <phoneticPr fontId="3" type="noConversion"/>
  </si>
  <si>
    <t>박병철</t>
    <phoneticPr fontId="3" type="noConversion"/>
  </si>
  <si>
    <t>2번째 큰값</t>
    <phoneticPr fontId="3" type="noConversion"/>
  </si>
  <si>
    <t>이선화</t>
    <phoneticPr fontId="3" type="noConversion"/>
  </si>
  <si>
    <t>2번째 작은 값</t>
    <phoneticPr fontId="3" type="noConversion"/>
  </si>
  <si>
    <t>김태민</t>
    <phoneticPr fontId="3" type="noConversion"/>
  </si>
  <si>
    <t xml:space="preserve">[표5] </t>
    <phoneticPr fontId="3" type="noConversion"/>
  </si>
  <si>
    <t>컴퓨터 연수 결과</t>
  </si>
  <si>
    <t>성명</t>
    <phoneticPr fontId="3" type="noConversion"/>
  </si>
  <si>
    <t>엑셀</t>
    <phoneticPr fontId="3" type="noConversion"/>
  </si>
  <si>
    <t>워드</t>
    <phoneticPr fontId="3" type="noConversion"/>
  </si>
  <si>
    <t>인터넷활용</t>
    <phoneticPr fontId="3" type="noConversion"/>
  </si>
  <si>
    <t>이지용</t>
    <phoneticPr fontId="3" type="noConversion"/>
  </si>
  <si>
    <t>남진철</t>
    <phoneticPr fontId="3" type="noConversion"/>
  </si>
  <si>
    <t>어인애</t>
    <phoneticPr fontId="3" type="noConversion"/>
  </si>
  <si>
    <t>천우덕</t>
    <phoneticPr fontId="3" type="noConversion"/>
  </si>
  <si>
    <t>민지환</t>
    <phoneticPr fontId="3" type="noConversion"/>
  </si>
  <si>
    <t>박성자</t>
    <phoneticPr fontId="3" type="noConversion"/>
  </si>
  <si>
    <t>표준편차</t>
    <phoneticPr fontId="3" type="noConversion"/>
  </si>
  <si>
    <t>분산</t>
    <phoneticPr fontId="3" type="noConversion"/>
  </si>
  <si>
    <t>영어 시험 점수</t>
    <phoneticPr fontId="3" type="noConversion"/>
  </si>
  <si>
    <t>직원 근무 평가</t>
    <phoneticPr fontId="3" type="noConversion"/>
  </si>
  <si>
    <t>입사일</t>
    <phoneticPr fontId="3" type="noConversion"/>
  </si>
  <si>
    <t>근무점수</t>
    <phoneticPr fontId="3" type="noConversion"/>
  </si>
  <si>
    <t>이름</t>
    <phoneticPr fontId="3" type="noConversion"/>
  </si>
  <si>
    <t>영어점수</t>
    <phoneticPr fontId="3" type="noConversion"/>
  </si>
  <si>
    <t>응시 인원수</t>
    <phoneticPr fontId="3" type="noConversion"/>
  </si>
  <si>
    <t>박정호</t>
    <phoneticPr fontId="3" type="noConversion"/>
  </si>
  <si>
    <t>강인월</t>
    <phoneticPr fontId="3" type="noConversion"/>
  </si>
  <si>
    <t>신정희</t>
    <phoneticPr fontId="3" type="noConversion"/>
  </si>
  <si>
    <t>70점대</t>
    <phoneticPr fontId="3" type="noConversion"/>
  </si>
  <si>
    <t>차영국</t>
    <phoneticPr fontId="3" type="noConversion"/>
  </si>
  <si>
    <t>김용태</t>
    <phoneticPr fontId="3" type="noConversion"/>
  </si>
  <si>
    <t>이미자</t>
    <phoneticPr fontId="3" type="noConversion"/>
  </si>
  <si>
    <t>김진영</t>
    <phoneticPr fontId="3" type="noConversion"/>
  </si>
  <si>
    <t>류장결</t>
    <phoneticPr fontId="3" type="noConversion"/>
  </si>
  <si>
    <t>유현숙</t>
    <phoneticPr fontId="3" type="noConversion"/>
  </si>
  <si>
    <t>송태영</t>
    <phoneticPr fontId="3" type="noConversion"/>
  </si>
  <si>
    <t>최정렬</t>
    <phoneticPr fontId="3" type="noConversion"/>
  </si>
  <si>
    <t>박상영</t>
    <phoneticPr fontId="3" type="noConversion"/>
  </si>
  <si>
    <t>강창희</t>
    <phoneticPr fontId="3" type="noConversion"/>
  </si>
  <si>
    <t>최현구</t>
    <phoneticPr fontId="3" type="noConversion"/>
  </si>
  <si>
    <t>천영주</t>
    <phoneticPr fontId="3" type="noConversion"/>
  </si>
  <si>
    <t>박인수</t>
    <phoneticPr fontId="3" type="noConversion"/>
  </si>
  <si>
    <t>대금 납부 현황</t>
  </si>
  <si>
    <t>교재 대금 납부 현황</t>
    <phoneticPr fontId="3" type="noConversion"/>
  </si>
  <si>
    <t>공통필수</t>
    <phoneticPr fontId="3" type="noConversion"/>
  </si>
  <si>
    <t>전공필수</t>
    <phoneticPr fontId="3" type="noConversion"/>
  </si>
  <si>
    <t>전공선택</t>
    <phoneticPr fontId="3" type="noConversion"/>
  </si>
  <si>
    <t>번호</t>
    <phoneticPr fontId="3" type="noConversion"/>
  </si>
  <si>
    <t>어학</t>
    <phoneticPr fontId="3" type="noConversion"/>
  </si>
  <si>
    <t>어동철</t>
    <phoneticPr fontId="3" type="noConversion"/>
  </si>
  <si>
    <t>O</t>
    <phoneticPr fontId="3" type="noConversion"/>
  </si>
  <si>
    <t>이동한</t>
    <phoneticPr fontId="3" type="noConversion"/>
  </si>
  <si>
    <t>납부</t>
    <phoneticPr fontId="3" type="noConversion"/>
  </si>
  <si>
    <t>인당수</t>
    <phoneticPr fontId="3" type="noConversion"/>
  </si>
  <si>
    <t>어형부</t>
    <phoneticPr fontId="3" type="noConversion"/>
  </si>
  <si>
    <t>기형도</t>
    <phoneticPr fontId="3" type="noConversion"/>
  </si>
  <si>
    <t>강철민</t>
    <phoneticPr fontId="3" type="noConversion"/>
  </si>
  <si>
    <t>안지만</t>
    <phoneticPr fontId="3" type="noConversion"/>
  </si>
  <si>
    <t>오지훈</t>
    <phoneticPr fontId="3" type="noConversion"/>
  </si>
  <si>
    <t>신호연</t>
    <phoneticPr fontId="3" type="noConversion"/>
  </si>
  <si>
    <t>사용철</t>
    <phoneticPr fontId="3" type="noConversion"/>
  </si>
  <si>
    <t>윤동훈</t>
    <phoneticPr fontId="3" type="noConversion"/>
  </si>
  <si>
    <t>우동철</t>
    <phoneticPr fontId="3" type="noConversion"/>
  </si>
  <si>
    <t>임미영</t>
    <phoneticPr fontId="3" type="noConversion"/>
  </si>
  <si>
    <t>유민국</t>
    <phoneticPr fontId="3" type="noConversion"/>
  </si>
  <si>
    <t>구대성</t>
    <phoneticPr fontId="3" type="noConversion"/>
  </si>
  <si>
    <t>안동수</t>
    <phoneticPr fontId="3" type="noConversion"/>
  </si>
  <si>
    <t>납부자수</t>
    <phoneticPr fontId="3" type="noConversion"/>
  </si>
  <si>
    <t>미납자수</t>
    <phoneticPr fontId="3" type="noConversion"/>
  </si>
  <si>
    <t>성명</t>
    <phoneticPr fontId="3" type="noConversion"/>
  </si>
  <si>
    <t>성명</t>
    <phoneticPr fontId="3" type="noConversion"/>
  </si>
  <si>
    <t>결과</t>
    <phoneticPr fontId="3" type="noConversion"/>
  </si>
  <si>
    <t>열번호(COLUMN)</t>
    <phoneticPr fontId="3" type="noConversion"/>
  </si>
  <si>
    <t>행번호(ROW)</t>
    <phoneticPr fontId="3" type="noConversion"/>
  </si>
  <si>
    <t>① [B3:F8] 영역의 열의 개수는?</t>
    <phoneticPr fontId="3" type="noConversion"/>
  </si>
  <si>
    <t>② [B3:F8] 영역의 행의 개수는?</t>
    <phoneticPr fontId="3" type="noConversion"/>
  </si>
  <si>
    <t>③ [B2] 셀의 열 번호는?</t>
    <phoneticPr fontId="3" type="noConversion"/>
  </si>
  <si>
    <t>④ [B2] 셀의 행 번호는?</t>
    <phoneticPr fontId="3" type="noConversion"/>
  </si>
  <si>
    <t>B_Sep1</t>
  </si>
  <si>
    <t>B_Sep2</t>
  </si>
  <si>
    <t>설악</t>
    <phoneticPr fontId="3" type="noConversion"/>
  </si>
  <si>
    <t>하태훈</t>
    <phoneticPr fontId="3" type="noConversion"/>
  </si>
  <si>
    <t>우수회원</t>
    <phoneticPr fontId="3" type="noConversion"/>
  </si>
  <si>
    <t>차인태</t>
    <phoneticPr fontId="3" type="noConversion"/>
  </si>
  <si>
    <t>B_Sep3</t>
  </si>
  <si>
    <t>김규리</t>
    <phoneticPr fontId="3" type="noConversion"/>
  </si>
  <si>
    <t>제주도</t>
    <phoneticPr fontId="3" type="noConversion"/>
  </si>
  <si>
    <t>안동식</t>
    <phoneticPr fontId="3" type="noConversion"/>
  </si>
  <si>
    <t>일반회원</t>
    <phoneticPr fontId="3" type="noConversion"/>
  </si>
  <si>
    <t>정구왕</t>
    <phoneticPr fontId="3" type="noConversion"/>
  </si>
  <si>
    <t>C_Tep3</t>
  </si>
  <si>
    <t>김동화</t>
    <phoneticPr fontId="3" type="noConversion"/>
  </si>
  <si>
    <t>안면도</t>
    <phoneticPr fontId="3" type="noConversion"/>
  </si>
  <si>
    <t>김민철</t>
    <phoneticPr fontId="3" type="noConversion"/>
  </si>
  <si>
    <t>V.I.P</t>
    <phoneticPr fontId="3" type="noConversion"/>
  </si>
  <si>
    <t>정재현</t>
    <phoneticPr fontId="3" type="noConversion"/>
  </si>
  <si>
    <t>C_Tep4</t>
  </si>
  <si>
    <t>김서현</t>
    <phoneticPr fontId="3" type="noConversion"/>
  </si>
  <si>
    <t>GOLD</t>
    <phoneticPr fontId="3" type="noConversion"/>
  </si>
  <si>
    <t>단양</t>
    <phoneticPr fontId="3" type="noConversion"/>
  </si>
  <si>
    <t>장유익</t>
    <phoneticPr fontId="3" type="noConversion"/>
  </si>
  <si>
    <t>황진하</t>
    <phoneticPr fontId="3" type="noConversion"/>
  </si>
  <si>
    <t>C_Tep5</t>
  </si>
  <si>
    <t>김서희</t>
    <phoneticPr fontId="3" type="noConversion"/>
  </si>
  <si>
    <t>SILVER</t>
    <phoneticPr fontId="3" type="noConversion"/>
  </si>
  <si>
    <t>삼척</t>
    <phoneticPr fontId="3" type="noConversion"/>
  </si>
  <si>
    <t>강태공</t>
    <phoneticPr fontId="3" type="noConversion"/>
  </si>
  <si>
    <t>이윤태</t>
    <phoneticPr fontId="3" type="noConversion"/>
  </si>
  <si>
    <t>C_Tep6</t>
  </si>
  <si>
    <t>류은서</t>
    <phoneticPr fontId="3" type="noConversion"/>
  </si>
  <si>
    <t>박한나</t>
    <phoneticPr fontId="3" type="noConversion"/>
  </si>
  <si>
    <t>C_Tep7</t>
  </si>
  <si>
    <t>형민태</t>
    <phoneticPr fontId="3" type="noConversion"/>
  </si>
  <si>
    <t>회원명</t>
    <phoneticPr fontId="3" type="noConversion"/>
  </si>
  <si>
    <t>이미리</t>
    <phoneticPr fontId="3" type="noConversion"/>
  </si>
  <si>
    <t>고객등급별 사은품 목록</t>
    <phoneticPr fontId="3" type="noConversion"/>
  </si>
  <si>
    <t>C</t>
    <phoneticPr fontId="3" type="noConversion"/>
  </si>
  <si>
    <t>S</t>
    <phoneticPr fontId="3" type="noConversion"/>
  </si>
  <si>
    <t>G</t>
    <phoneticPr fontId="3" type="noConversion"/>
  </si>
  <si>
    <t>D</t>
    <phoneticPr fontId="3" type="noConversion"/>
  </si>
  <si>
    <t>수강과목수</t>
    <phoneticPr fontId="3" type="noConversion"/>
  </si>
  <si>
    <t>없음</t>
    <phoneticPr fontId="3" type="noConversion"/>
  </si>
  <si>
    <t>전화기</t>
    <phoneticPr fontId="3" type="noConversion"/>
  </si>
  <si>
    <t>스마트폰</t>
    <phoneticPr fontId="3" type="noConversion"/>
  </si>
  <si>
    <t>아이패드</t>
    <phoneticPr fontId="3" type="noConversion"/>
  </si>
  <si>
    <t>[표5]</t>
    <phoneticPr fontId="3" type="noConversion"/>
  </si>
  <si>
    <t>사원코드</t>
    <phoneticPr fontId="3" type="noConversion"/>
  </si>
  <si>
    <t>담당부서</t>
    <phoneticPr fontId="3" type="noConversion"/>
  </si>
  <si>
    <t>근무년수</t>
    <phoneticPr fontId="3" type="noConversion"/>
  </si>
  <si>
    <t>직위</t>
    <phoneticPr fontId="3" type="noConversion"/>
  </si>
  <si>
    <t>김남이</t>
    <phoneticPr fontId="3" type="noConversion"/>
  </si>
  <si>
    <t>기획부</t>
    <phoneticPr fontId="3" type="noConversion"/>
  </si>
  <si>
    <t>교수코드</t>
    <phoneticPr fontId="3" type="noConversion"/>
  </si>
  <si>
    <t>교수명</t>
    <phoneticPr fontId="3" type="noConversion"/>
  </si>
  <si>
    <t>평가점수</t>
    <phoneticPr fontId="3" type="noConversion"/>
  </si>
  <si>
    <t>결과</t>
    <phoneticPr fontId="3" type="noConversion"/>
  </si>
  <si>
    <t>이지영</t>
    <phoneticPr fontId="3" type="noConversion"/>
  </si>
  <si>
    <t>영업부</t>
    <phoneticPr fontId="3" type="noConversion"/>
  </si>
  <si>
    <t>CP-0701</t>
  </si>
  <si>
    <t>한가람</t>
    <phoneticPr fontId="3" type="noConversion"/>
  </si>
  <si>
    <t>하나미</t>
    <phoneticPr fontId="3" type="noConversion"/>
  </si>
  <si>
    <t>CP-0503</t>
  </si>
  <si>
    <t>김은철</t>
    <phoneticPr fontId="3" type="noConversion"/>
  </si>
  <si>
    <t>이정훈</t>
    <phoneticPr fontId="3" type="noConversion"/>
  </si>
  <si>
    <t>TC-9505</t>
  </si>
  <si>
    <t>고사리</t>
    <phoneticPr fontId="3" type="noConversion"/>
  </si>
  <si>
    <t>임진태</t>
    <phoneticPr fontId="3" type="noConversion"/>
  </si>
  <si>
    <t>총무부</t>
    <phoneticPr fontId="3" type="noConversion"/>
  </si>
  <si>
    <t>TC-7801</t>
  </si>
  <si>
    <t>박은별</t>
    <phoneticPr fontId="3" type="noConversion"/>
  </si>
  <si>
    <t>강태형</t>
    <phoneticPr fontId="3" type="noConversion"/>
  </si>
  <si>
    <t>PT-0604</t>
  </si>
  <si>
    <t>성준서</t>
    <phoneticPr fontId="3" type="noConversion"/>
  </si>
  <si>
    <t>피정우</t>
    <phoneticPr fontId="3" type="noConversion"/>
  </si>
  <si>
    <t>AC-0906</t>
    <phoneticPr fontId="3" type="noConversion"/>
  </si>
  <si>
    <t>이성연</t>
    <phoneticPr fontId="3" type="noConversion"/>
  </si>
  <si>
    <t>이태민</t>
    <phoneticPr fontId="3" type="noConversion"/>
  </si>
  <si>
    <t>[표1]</t>
    <phoneticPr fontId="3" type="noConversion"/>
  </si>
  <si>
    <t>[표2]</t>
    <phoneticPr fontId="3" type="noConversion"/>
  </si>
  <si>
    <t>고객번호</t>
    <phoneticPr fontId="3" type="noConversion"/>
  </si>
  <si>
    <t>고객명</t>
    <phoneticPr fontId="3" type="noConversion"/>
  </si>
  <si>
    <t>고객등급</t>
    <phoneticPr fontId="3" type="noConversion"/>
  </si>
  <si>
    <t>사은품</t>
    <phoneticPr fontId="3" type="noConversion"/>
  </si>
  <si>
    <t>위치</t>
    <phoneticPr fontId="3" type="noConversion"/>
  </si>
  <si>
    <t>이용일수</t>
    <phoneticPr fontId="3" type="noConversion"/>
  </si>
  <si>
    <t>회원명</t>
    <phoneticPr fontId="3" type="noConversion"/>
  </si>
  <si>
    <t>비고</t>
    <phoneticPr fontId="3" type="noConversion"/>
  </si>
  <si>
    <t>수강료</t>
    <phoneticPr fontId="3" type="noConversion"/>
  </si>
  <si>
    <t>권태형</t>
    <phoneticPr fontId="3" type="noConversion"/>
  </si>
  <si>
    <r>
      <t>G</t>
    </r>
    <r>
      <rPr>
        <sz val="11"/>
        <color theme="1"/>
        <rFont val="맑은 고딕"/>
        <family val="3"/>
        <charset val="129"/>
        <scheme val="minor"/>
      </rPr>
      <t>OLD</t>
    </r>
    <phoneticPr fontId="3" type="noConversion"/>
  </si>
  <si>
    <t>통영</t>
    <phoneticPr fontId="3" type="noConversion"/>
  </si>
  <si>
    <t>서현진</t>
    <phoneticPr fontId="3" type="noConversion"/>
  </si>
  <si>
    <t>우수회원</t>
    <phoneticPr fontId="3" type="noConversion"/>
  </si>
  <si>
    <t>김병수</t>
    <phoneticPr fontId="3" type="noConversion"/>
  </si>
  <si>
    <t>강주호</t>
    <phoneticPr fontId="3" type="noConversion"/>
  </si>
  <si>
    <r>
      <t>D</t>
    </r>
    <r>
      <rPr>
        <sz val="11"/>
        <color theme="1"/>
        <rFont val="맑은 고딕"/>
        <family val="3"/>
        <charset val="129"/>
        <scheme val="minor"/>
      </rPr>
      <t>IAMOND</t>
    </r>
    <phoneticPr fontId="3" type="noConversion"/>
  </si>
  <si>
    <t>설악</t>
    <phoneticPr fontId="3" type="noConversion"/>
  </si>
  <si>
    <t>하태훈</t>
    <phoneticPr fontId="3" type="noConversion"/>
  </si>
  <si>
    <t>김규리</t>
    <phoneticPr fontId="3" type="noConversion"/>
  </si>
  <si>
    <r>
      <t>S</t>
    </r>
    <r>
      <rPr>
        <sz val="11"/>
        <color theme="1"/>
        <rFont val="맑은 고딕"/>
        <family val="3"/>
        <charset val="129"/>
        <scheme val="minor"/>
      </rPr>
      <t>ILVER</t>
    </r>
    <phoneticPr fontId="3" type="noConversion"/>
  </si>
  <si>
    <t>제주도</t>
    <phoneticPr fontId="3" type="noConversion"/>
  </si>
  <si>
    <t>안동식</t>
    <phoneticPr fontId="3" type="noConversion"/>
  </si>
  <si>
    <t>일반회원</t>
    <phoneticPr fontId="3" type="noConversion"/>
  </si>
  <si>
    <t>김동화</t>
    <phoneticPr fontId="3" type="noConversion"/>
  </si>
  <si>
    <r>
      <t>C</t>
    </r>
    <r>
      <rPr>
        <sz val="11"/>
        <color theme="1"/>
        <rFont val="맑은 고딕"/>
        <family val="3"/>
        <charset val="129"/>
        <scheme val="minor"/>
      </rPr>
      <t>OPPER</t>
    </r>
    <phoneticPr fontId="3" type="noConversion"/>
  </si>
  <si>
    <t>안면도</t>
    <phoneticPr fontId="3" type="noConversion"/>
  </si>
  <si>
    <t>김민철</t>
    <phoneticPr fontId="3" type="noConversion"/>
  </si>
  <si>
    <t>V.I.P</t>
    <phoneticPr fontId="3" type="noConversion"/>
  </si>
  <si>
    <t>김서현</t>
    <phoneticPr fontId="3" type="noConversion"/>
  </si>
  <si>
    <t>GOLD</t>
    <phoneticPr fontId="3" type="noConversion"/>
  </si>
  <si>
    <t>단양</t>
    <phoneticPr fontId="3" type="noConversion"/>
  </si>
  <si>
    <t>장유익</t>
    <phoneticPr fontId="3" type="noConversion"/>
  </si>
  <si>
    <t>김서희</t>
    <phoneticPr fontId="3" type="noConversion"/>
  </si>
  <si>
    <t>SILVER</t>
    <phoneticPr fontId="3" type="noConversion"/>
  </si>
  <si>
    <t>삼척</t>
    <phoneticPr fontId="3" type="noConversion"/>
  </si>
  <si>
    <t>강태공</t>
    <phoneticPr fontId="3" type="noConversion"/>
  </si>
  <si>
    <t>류은서</t>
    <phoneticPr fontId="3" type="noConversion"/>
  </si>
  <si>
    <t>형민태</t>
    <phoneticPr fontId="3" type="noConversion"/>
  </si>
  <si>
    <t>고객등급별 사은품 목록</t>
    <phoneticPr fontId="3" type="noConversion"/>
  </si>
  <si>
    <t>C</t>
    <phoneticPr fontId="3" type="noConversion"/>
  </si>
  <si>
    <t>S</t>
    <phoneticPr fontId="3" type="noConversion"/>
  </si>
  <si>
    <t>G</t>
    <phoneticPr fontId="3" type="noConversion"/>
  </si>
  <si>
    <t>D</t>
    <phoneticPr fontId="3" type="noConversion"/>
  </si>
  <si>
    <t>없음</t>
    <phoneticPr fontId="3" type="noConversion"/>
  </si>
  <si>
    <t>전화기</t>
    <phoneticPr fontId="3" type="noConversion"/>
  </si>
  <si>
    <t>스마트폰</t>
    <phoneticPr fontId="3" type="noConversion"/>
  </si>
  <si>
    <t>아이패드</t>
    <phoneticPr fontId="3" type="noConversion"/>
  </si>
  <si>
    <t>[표5]</t>
    <phoneticPr fontId="3" type="noConversion"/>
  </si>
  <si>
    <t>사원코드</t>
    <phoneticPr fontId="3" type="noConversion"/>
  </si>
  <si>
    <t>담당부서</t>
    <phoneticPr fontId="3" type="noConversion"/>
  </si>
  <si>
    <t>근무년수</t>
    <phoneticPr fontId="3" type="noConversion"/>
  </si>
  <si>
    <t>직위</t>
    <phoneticPr fontId="3" type="noConversion"/>
  </si>
  <si>
    <t>[표 4]</t>
    <phoneticPr fontId="3" type="noConversion"/>
  </si>
  <si>
    <r>
      <t>A</t>
    </r>
    <r>
      <rPr>
        <sz val="11"/>
        <color theme="1"/>
        <rFont val="맑은 고딕"/>
        <family val="3"/>
        <charset val="129"/>
        <scheme val="minor"/>
      </rPr>
      <t>-101</t>
    </r>
    <phoneticPr fontId="3" type="noConversion"/>
  </si>
  <si>
    <t>김남이</t>
    <phoneticPr fontId="3" type="noConversion"/>
  </si>
  <si>
    <t>기획부</t>
    <phoneticPr fontId="3" type="noConversion"/>
  </si>
  <si>
    <t>교수코드</t>
    <phoneticPr fontId="3" type="noConversion"/>
  </si>
  <si>
    <t>교수명</t>
    <phoneticPr fontId="3" type="noConversion"/>
  </si>
  <si>
    <t>평가점수</t>
    <phoneticPr fontId="3" type="noConversion"/>
  </si>
  <si>
    <r>
      <t>A</t>
    </r>
    <r>
      <rPr>
        <sz val="11"/>
        <color theme="1"/>
        <rFont val="맑은 고딕"/>
        <family val="3"/>
        <charset val="129"/>
        <scheme val="minor"/>
      </rPr>
      <t>-201</t>
    </r>
    <phoneticPr fontId="3" type="noConversion"/>
  </si>
  <si>
    <t>이지영</t>
    <phoneticPr fontId="3" type="noConversion"/>
  </si>
  <si>
    <t>영업부</t>
    <phoneticPr fontId="3" type="noConversion"/>
  </si>
  <si>
    <t>한가람</t>
    <phoneticPr fontId="3" type="noConversion"/>
  </si>
  <si>
    <r>
      <t>B</t>
    </r>
    <r>
      <rPr>
        <sz val="11"/>
        <color theme="1"/>
        <rFont val="맑은 고딕"/>
        <family val="3"/>
        <charset val="129"/>
        <scheme val="minor"/>
      </rPr>
      <t>-312</t>
    </r>
    <phoneticPr fontId="3" type="noConversion"/>
  </si>
  <si>
    <t>하나미</t>
    <phoneticPr fontId="3" type="noConversion"/>
  </si>
  <si>
    <t>김은철</t>
    <phoneticPr fontId="3" type="noConversion"/>
  </si>
  <si>
    <r>
      <t>C</t>
    </r>
    <r>
      <rPr>
        <sz val="11"/>
        <color theme="1"/>
        <rFont val="맑은 고딕"/>
        <family val="3"/>
        <charset val="129"/>
        <scheme val="minor"/>
      </rPr>
      <t>-245</t>
    </r>
    <phoneticPr fontId="3" type="noConversion"/>
  </si>
  <si>
    <t>이정훈</t>
    <phoneticPr fontId="3" type="noConversion"/>
  </si>
  <si>
    <t>고사리</t>
    <phoneticPr fontId="3" type="noConversion"/>
  </si>
  <si>
    <r>
      <t>A</t>
    </r>
    <r>
      <rPr>
        <sz val="11"/>
        <color theme="1"/>
        <rFont val="맑은 고딕"/>
        <family val="3"/>
        <charset val="129"/>
        <scheme val="minor"/>
      </rPr>
      <t>-431</t>
    </r>
    <phoneticPr fontId="3" type="noConversion"/>
  </si>
  <si>
    <t>임진태</t>
    <phoneticPr fontId="3" type="noConversion"/>
  </si>
  <si>
    <t>총무부</t>
    <phoneticPr fontId="3" type="noConversion"/>
  </si>
  <si>
    <t>박은별</t>
    <phoneticPr fontId="3" type="noConversion"/>
  </si>
  <si>
    <r>
      <t>B</t>
    </r>
    <r>
      <rPr>
        <sz val="11"/>
        <color theme="1"/>
        <rFont val="맑은 고딕"/>
        <family val="3"/>
        <charset val="129"/>
        <scheme val="minor"/>
      </rPr>
      <t>-215</t>
    </r>
    <phoneticPr fontId="3" type="noConversion"/>
  </si>
  <si>
    <t>강태형</t>
    <phoneticPr fontId="3" type="noConversion"/>
  </si>
  <si>
    <t>성준서</t>
    <phoneticPr fontId="3" type="noConversion"/>
  </si>
  <si>
    <r>
      <t>C</t>
    </r>
    <r>
      <rPr>
        <sz val="11"/>
        <color theme="1"/>
        <rFont val="맑은 고딕"/>
        <family val="3"/>
        <charset val="129"/>
        <scheme val="minor"/>
      </rPr>
      <t>-456</t>
    </r>
    <phoneticPr fontId="3" type="noConversion"/>
  </si>
  <si>
    <t>피정우</t>
    <phoneticPr fontId="3" type="noConversion"/>
  </si>
  <si>
    <t>AC-0906</t>
    <phoneticPr fontId="3" type="noConversion"/>
  </si>
  <si>
    <t>이성연</t>
    <phoneticPr fontId="3" type="noConversion"/>
  </si>
  <si>
    <r>
      <t>B</t>
    </r>
    <r>
      <rPr>
        <sz val="11"/>
        <color theme="1"/>
        <rFont val="맑은 고딕"/>
        <family val="3"/>
        <charset val="129"/>
        <scheme val="minor"/>
      </rPr>
      <t>-123</t>
    </r>
    <phoneticPr fontId="3" type="noConversion"/>
  </si>
  <si>
    <t>이태민</t>
    <phoneticPr fontId="3" type="noConversion"/>
  </si>
  <si>
    <t>[표1]</t>
    <phoneticPr fontId="3" type="noConversion"/>
  </si>
  <si>
    <t>[표2]</t>
    <phoneticPr fontId="3" type="noConversion"/>
  </si>
  <si>
    <t>[표3]</t>
    <phoneticPr fontId="3" type="noConversion"/>
  </si>
  <si>
    <t>고객번호</t>
    <phoneticPr fontId="3" type="noConversion"/>
  </si>
  <si>
    <t>고객명</t>
    <phoneticPr fontId="3" type="noConversion"/>
  </si>
  <si>
    <t>고객등급</t>
    <phoneticPr fontId="3" type="noConversion"/>
  </si>
  <si>
    <t>사은품</t>
    <phoneticPr fontId="3" type="noConversion"/>
  </si>
  <si>
    <t>위치</t>
    <phoneticPr fontId="3" type="noConversion"/>
  </si>
  <si>
    <t>이용일수</t>
    <phoneticPr fontId="3" type="noConversion"/>
  </si>
  <si>
    <t>비고</t>
    <phoneticPr fontId="3" type="noConversion"/>
  </si>
  <si>
    <t>수강료</t>
    <phoneticPr fontId="3" type="noConversion"/>
  </si>
  <si>
    <t>권태형</t>
    <phoneticPr fontId="3" type="noConversion"/>
  </si>
  <si>
    <r>
      <t>G</t>
    </r>
    <r>
      <rPr>
        <sz val="11"/>
        <color theme="1"/>
        <rFont val="맑은 고딕"/>
        <family val="3"/>
        <charset val="129"/>
        <scheme val="minor"/>
      </rPr>
      <t>OLD</t>
    </r>
    <phoneticPr fontId="3" type="noConversion"/>
  </si>
  <si>
    <t>통영</t>
    <phoneticPr fontId="3" type="noConversion"/>
  </si>
  <si>
    <t>서현진</t>
    <phoneticPr fontId="3" type="noConversion"/>
  </si>
  <si>
    <t>김병수</t>
    <phoneticPr fontId="3" type="noConversion"/>
  </si>
  <si>
    <t>강주호</t>
    <phoneticPr fontId="3" type="noConversion"/>
  </si>
  <si>
    <r>
      <t>D</t>
    </r>
    <r>
      <rPr>
        <sz val="11"/>
        <color theme="1"/>
        <rFont val="맑은 고딕"/>
        <family val="3"/>
        <charset val="129"/>
        <scheme val="minor"/>
      </rPr>
      <t>IAMOND</t>
    </r>
    <phoneticPr fontId="3" type="noConversion"/>
  </si>
  <si>
    <r>
      <t>S</t>
    </r>
    <r>
      <rPr>
        <sz val="11"/>
        <color theme="1"/>
        <rFont val="맑은 고딕"/>
        <family val="3"/>
        <charset val="129"/>
        <scheme val="minor"/>
      </rPr>
      <t>ILVER</t>
    </r>
    <phoneticPr fontId="3" type="noConversion"/>
  </si>
  <si>
    <r>
      <t>C</t>
    </r>
    <r>
      <rPr>
        <sz val="11"/>
        <color theme="1"/>
        <rFont val="맑은 고딕"/>
        <family val="3"/>
        <charset val="129"/>
        <scheme val="minor"/>
      </rPr>
      <t>OPPER</t>
    </r>
    <phoneticPr fontId="3" type="noConversion"/>
  </si>
  <si>
    <r>
      <t>A</t>
    </r>
    <r>
      <rPr>
        <sz val="11"/>
        <color theme="1"/>
        <rFont val="맑은 고딕"/>
        <family val="3"/>
        <charset val="129"/>
        <scheme val="minor"/>
      </rPr>
      <t>-101</t>
    </r>
    <phoneticPr fontId="3" type="noConversion"/>
  </si>
  <si>
    <r>
      <t>A</t>
    </r>
    <r>
      <rPr>
        <sz val="11"/>
        <color theme="1"/>
        <rFont val="맑은 고딕"/>
        <family val="3"/>
        <charset val="129"/>
        <scheme val="minor"/>
      </rPr>
      <t>-201</t>
    </r>
    <phoneticPr fontId="3" type="noConversion"/>
  </si>
  <si>
    <r>
      <t>B</t>
    </r>
    <r>
      <rPr>
        <sz val="11"/>
        <color theme="1"/>
        <rFont val="맑은 고딕"/>
        <family val="3"/>
        <charset val="129"/>
        <scheme val="minor"/>
      </rPr>
      <t>-312</t>
    </r>
    <phoneticPr fontId="3" type="noConversion"/>
  </si>
  <si>
    <r>
      <t>C</t>
    </r>
    <r>
      <rPr>
        <sz val="11"/>
        <color theme="1"/>
        <rFont val="맑은 고딕"/>
        <family val="3"/>
        <charset val="129"/>
        <scheme val="minor"/>
      </rPr>
      <t>-245</t>
    </r>
    <phoneticPr fontId="3" type="noConversion"/>
  </si>
  <si>
    <r>
      <t>A</t>
    </r>
    <r>
      <rPr>
        <sz val="11"/>
        <color theme="1"/>
        <rFont val="맑은 고딕"/>
        <family val="3"/>
        <charset val="129"/>
        <scheme val="minor"/>
      </rPr>
      <t>-431</t>
    </r>
    <phoneticPr fontId="3" type="noConversion"/>
  </si>
  <si>
    <r>
      <t>B</t>
    </r>
    <r>
      <rPr>
        <sz val="11"/>
        <color theme="1"/>
        <rFont val="맑은 고딕"/>
        <family val="3"/>
        <charset val="129"/>
        <scheme val="minor"/>
      </rPr>
      <t>-215</t>
    </r>
    <phoneticPr fontId="3" type="noConversion"/>
  </si>
  <si>
    <r>
      <t>C</t>
    </r>
    <r>
      <rPr>
        <sz val="11"/>
        <color theme="1"/>
        <rFont val="맑은 고딕"/>
        <family val="3"/>
        <charset val="129"/>
        <scheme val="minor"/>
      </rPr>
      <t>-456</t>
    </r>
    <phoneticPr fontId="3" type="noConversion"/>
  </si>
  <si>
    <r>
      <t>B</t>
    </r>
    <r>
      <rPr>
        <sz val="11"/>
        <color theme="1"/>
        <rFont val="맑은 고딕"/>
        <family val="3"/>
        <charset val="129"/>
        <scheme val="minor"/>
      </rPr>
      <t>-123</t>
    </r>
    <phoneticPr fontId="3" type="noConversion"/>
  </si>
  <si>
    <t>구상공업</t>
  </si>
  <si>
    <t>초석산업</t>
  </si>
  <si>
    <t>홍신기업</t>
  </si>
  <si>
    <t>[표1] 차량운송현황</t>
    <phoneticPr fontId="3" type="noConversion"/>
  </si>
  <si>
    <t>일자</t>
    <phoneticPr fontId="3" type="noConversion"/>
  </si>
  <si>
    <t>차량번호</t>
    <phoneticPr fontId="3" type="noConversion"/>
  </si>
  <si>
    <t>거래처</t>
    <phoneticPr fontId="3" type="noConversion"/>
  </si>
  <si>
    <t>도착지</t>
    <phoneticPr fontId="3" type="noConversion"/>
  </si>
  <si>
    <t>수량</t>
    <phoneticPr fontId="3" type="noConversion"/>
  </si>
  <si>
    <t>협력사</t>
    <phoneticPr fontId="3" type="noConversion"/>
  </si>
  <si>
    <t>지급액</t>
    <phoneticPr fontId="3" type="noConversion"/>
  </si>
  <si>
    <t>① 도착지가 '영천'인 지급액의 평균은?</t>
    <phoneticPr fontId="3" type="noConversion"/>
  </si>
  <si>
    <t>영천</t>
    <phoneticPr fontId="3" type="noConversion"/>
  </si>
  <si>
    <t>자차</t>
    <phoneticPr fontId="3" type="noConversion"/>
  </si>
  <si>
    <t>전국</t>
    <phoneticPr fontId="3" type="noConversion"/>
  </si>
  <si>
    <t>의왕</t>
    <phoneticPr fontId="3" type="noConversion"/>
  </si>
  <si>
    <t>② 도착지가 '고령'이면서 협력사가 '자차'인 
지급액의 평균은?</t>
    <phoneticPr fontId="3" type="noConversion"/>
  </si>
  <si>
    <t>서울</t>
    <phoneticPr fontId="3" type="noConversion"/>
  </si>
  <si>
    <t>군위</t>
    <phoneticPr fontId="3" type="noConversion"/>
  </si>
  <si>
    <t>ERROR</t>
    <phoneticPr fontId="3" type="noConversion"/>
  </si>
  <si>
    <t>③ 거래처가 '초석산업', 도착지 '영천', 
수량 &gt;=10 조건을 모두 만족한 건수는?</t>
    <phoneticPr fontId="3" type="noConversion"/>
  </si>
  <si>
    <t>고령</t>
    <phoneticPr fontId="3" type="noConversion"/>
  </si>
  <si>
    <t>한성</t>
    <phoneticPr fontId="3" type="noConversion"/>
  </si>
  <si>
    <t>④ 수량에서 최대값은?</t>
    <phoneticPr fontId="3" type="noConversion"/>
  </si>
  <si>
    <t>구미</t>
    <phoneticPr fontId="3" type="noConversion"/>
  </si>
  <si>
    <t>황소</t>
    <phoneticPr fontId="3" type="noConversion"/>
  </si>
  <si>
    <t>열번호(COLUMN)</t>
    <phoneticPr fontId="3" type="noConversion"/>
  </si>
  <si>
    <t>행번호(ROW)</t>
    <phoneticPr fontId="3" type="noConversion"/>
  </si>
  <si>
    <t>EXCEL</t>
    <phoneticPr fontId="3" type="noConversion"/>
  </si>
  <si>
    <t>① [B3:F8] 영역의 열의 개수는?</t>
    <phoneticPr fontId="3" type="noConversion"/>
  </si>
  <si>
    <t>② [B3:F8] 영역의 행의 개수는?</t>
    <phoneticPr fontId="3" type="noConversion"/>
  </si>
  <si>
    <t>③ [B2] 셀의 열 번호는?</t>
    <phoneticPr fontId="3" type="noConversion"/>
  </si>
  <si>
    <t>④ [B2] 셀의 행 번호는?</t>
    <phoneticPr fontId="3" type="noConversion"/>
  </si>
  <si>
    <t>400점 이상이거나 2학년</t>
    <phoneticPr fontId="3" type="noConversion"/>
  </si>
  <si>
    <t>기준표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</si>
</sst>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9">
    <numFmt numFmtId="41" formatCode="_-* #,##0_-;\-* #,##0_-;_-* &quot;-&quot;_-;_-@_-"/>
    <numFmt numFmtId="176" formatCode="0.0%"/>
    <numFmt numFmtId="178" formatCode="0_);[Red]\(0\)"/>
    <numFmt numFmtId="179" formatCode="mm&quot;월&quot;\ dd&quot;일&quot;"/>
    <numFmt numFmtId="180" formatCode="#,##0_ "/>
    <numFmt numFmtId="181" formatCode="yy/mm/dd"/>
    <numFmt numFmtId="182" formatCode="#,##0_);[Red]\(#,##0\)"/>
    <numFmt numFmtId="183" formatCode="_-* #,##0.00_-;\-* #,##0.00_-;_-* &quot;-&quot;_-;_-@_-"/>
    <numFmt numFmtId="185" formatCode="mm&quot;월&quot;\ dd&quot;일&quot;;@"/>
  </numFmts>
  <fonts count="14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돋움"/>
      <family val="3"/>
      <charset val="129"/>
    </font>
    <font>
      <sz val="11"/>
      <color theme="1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b/>
      <sz val="11"/>
      <color theme="1"/>
      <name val="맑은 고딕"/>
      <family val="2"/>
      <charset val="129"/>
      <scheme val="minor"/>
    </font>
    <font>
      <sz val="11"/>
      <name val="돋움"/>
      <family val="3"/>
      <charset val="129"/>
    </font>
    <font>
      <sz val="11"/>
      <name val="맑은 고딕"/>
      <family val="2"/>
      <charset val="129"/>
      <scheme val="minor"/>
    </font>
    <font>
      <sz val="10"/>
      <name val="맑은 고딕"/>
      <family val="3"/>
      <charset val="129"/>
      <scheme val="minor"/>
    </font>
    <font>
      <sz val="9"/>
      <name val="맑은 고딕"/>
      <family val="3"/>
      <charset val="129"/>
      <scheme val="minor"/>
    </font>
    <font>
      <b/>
      <u/>
      <sz val="14"/>
      <name val="맑은 고딕"/>
      <family val="3"/>
      <charset val="129"/>
      <scheme val="minor"/>
    </font>
    <font>
      <b/>
      <u/>
      <sz val="14"/>
      <name val="맑은 고딕"/>
      <family val="2"/>
      <charset val="129"/>
      <scheme val="minor"/>
    </font>
  </fonts>
  <fills count="8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 diagonalUp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indexed="64"/>
      </diagonal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0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  <xf numFmtId="9" fontId="1" fillId="0" borderId="0" applyFont="0" applyFill="0" applyBorder="0" applyAlignment="0" applyProtection="0">
      <alignment vertical="center"/>
    </xf>
    <xf numFmtId="0" fontId="8" fillId="0" borderId="0"/>
    <xf numFmtId="0" fontId="8" fillId="0" borderId="0"/>
    <xf numFmtId="0" fontId="8" fillId="0" borderId="0"/>
    <xf numFmtId="0" fontId="8" fillId="0" borderId="0">
      <alignment vertical="center"/>
    </xf>
    <xf numFmtId="0" fontId="8" fillId="0" borderId="0">
      <alignment vertical="center"/>
    </xf>
    <xf numFmtId="0" fontId="8" fillId="0" borderId="0"/>
    <xf numFmtId="0" fontId="8" fillId="0" borderId="0">
      <alignment vertical="center"/>
    </xf>
  </cellStyleXfs>
  <cellXfs count="220">
    <xf numFmtId="0" fontId="0" fillId="0" borderId="0" xfId="0">
      <alignment vertical="center"/>
    </xf>
    <xf numFmtId="0" fontId="4" fillId="0" borderId="0" xfId="0" applyFont="1">
      <alignment vertical="center"/>
    </xf>
    <xf numFmtId="0" fontId="5" fillId="0" borderId="0" xfId="0" applyFont="1" applyFill="1" applyBorder="1" applyAlignment="1">
      <alignment horizontal="left"/>
    </xf>
    <xf numFmtId="0" fontId="4" fillId="0" borderId="0" xfId="0" applyFont="1" applyAlignment="1"/>
    <xf numFmtId="0" fontId="4" fillId="0" borderId="0" xfId="0" applyFont="1" applyFill="1" applyBorder="1" applyAlignment="1">
      <alignment horizontal="left"/>
    </xf>
    <xf numFmtId="0" fontId="4" fillId="0" borderId="1" xfId="0" applyFont="1" applyBorder="1" applyAlignment="1">
      <alignment horizontal="center"/>
    </xf>
    <xf numFmtId="0" fontId="4" fillId="2" borderId="1" xfId="0" applyFont="1" applyFill="1" applyBorder="1" applyAlignment="1">
      <alignment horizontal="center"/>
    </xf>
    <xf numFmtId="0" fontId="4" fillId="0" borderId="1" xfId="0" applyNumberFormat="1" applyFont="1" applyBorder="1" applyAlignment="1">
      <alignment horizontal="center" vertical="center"/>
    </xf>
    <xf numFmtId="0" fontId="4" fillId="0" borderId="1" xfId="0" applyFont="1" applyFill="1" applyBorder="1" applyAlignment="1">
      <alignment horizontal="center"/>
    </xf>
    <xf numFmtId="41" fontId="5" fillId="0" borderId="1" xfId="1" applyFont="1" applyBorder="1" applyAlignment="1">
      <alignment horizontal="center"/>
    </xf>
    <xf numFmtId="0" fontId="4" fillId="0" borderId="1" xfId="0" applyNumberFormat="1" applyFont="1" applyBorder="1" applyAlignment="1">
      <alignment horizontal="center"/>
    </xf>
    <xf numFmtId="41" fontId="5" fillId="0" borderId="1" xfId="1" applyFont="1" applyBorder="1" applyAlignment="1">
      <alignment horizontal="left"/>
    </xf>
    <xf numFmtId="41" fontId="5" fillId="0" borderId="1" xfId="1" applyFont="1" applyBorder="1" applyAlignment="1"/>
    <xf numFmtId="176" fontId="5" fillId="0" borderId="1" xfId="2" applyNumberFormat="1" applyFont="1" applyBorder="1" applyAlignment="1">
      <alignment horizontal="center"/>
    </xf>
    <xf numFmtId="0" fontId="4" fillId="0" borderId="1" xfId="0" applyNumberFormat="1" applyFont="1" applyFill="1" applyBorder="1" applyAlignment="1">
      <alignment horizontal="center"/>
    </xf>
    <xf numFmtId="41" fontId="5" fillId="0" borderId="1" xfId="1" applyFont="1" applyFill="1" applyBorder="1" applyAlignment="1">
      <alignment horizontal="left"/>
    </xf>
    <xf numFmtId="41" fontId="4" fillId="0" borderId="1" xfId="0" applyNumberFormat="1" applyFont="1" applyBorder="1" applyAlignment="1"/>
    <xf numFmtId="0" fontId="4" fillId="0" borderId="2" xfId="0" applyFont="1" applyBorder="1" applyAlignment="1"/>
    <xf numFmtId="0" fontId="4" fillId="0" borderId="0" xfId="0" applyFont="1" applyBorder="1" applyAlignment="1">
      <alignment horizontal="center"/>
    </xf>
    <xf numFmtId="9" fontId="4" fillId="0" borderId="1" xfId="0" applyNumberFormat="1" applyFont="1" applyBorder="1" applyAlignment="1">
      <alignment horizontal="center"/>
    </xf>
    <xf numFmtId="41" fontId="5" fillId="0" borderId="0" xfId="1" applyFont="1" applyBorder="1" applyAlignment="1">
      <alignment horizontal="center"/>
    </xf>
    <xf numFmtId="0" fontId="5" fillId="0" borderId="0" xfId="0" applyFont="1">
      <alignment vertical="center"/>
    </xf>
    <xf numFmtId="0" fontId="4" fillId="2" borderId="1" xfId="0" applyFont="1" applyFill="1" applyBorder="1" applyAlignment="1">
      <alignment horizontal="center" vertical="center"/>
    </xf>
    <xf numFmtId="0" fontId="5" fillId="0" borderId="1" xfId="1" applyNumberFormat="1" applyFont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14" fontId="0" fillId="2" borderId="1" xfId="0" applyNumberFormat="1" applyFill="1" applyBorder="1">
      <alignment vertical="center"/>
    </xf>
    <xf numFmtId="22" fontId="0" fillId="2" borderId="1" xfId="0" applyNumberFormat="1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2" borderId="1" xfId="0" applyFill="1" applyBorder="1">
      <alignment vertical="center"/>
    </xf>
    <xf numFmtId="18" fontId="0" fillId="2" borderId="1" xfId="0" applyNumberFormat="1" applyFill="1" applyBorder="1">
      <alignment vertical="center"/>
    </xf>
    <xf numFmtId="0" fontId="0" fillId="2" borderId="1" xfId="0" applyNumberFormat="1" applyFill="1" applyBorder="1">
      <alignment vertical="center"/>
    </xf>
    <xf numFmtId="179" fontId="0" fillId="0" borderId="1" xfId="0" applyNumberFormat="1" applyBorder="1" applyAlignment="1">
      <alignment horizontal="center" vertical="center"/>
    </xf>
    <xf numFmtId="41" fontId="0" fillId="0" borderId="1" xfId="1" applyFont="1" applyBorder="1" applyAlignment="1">
      <alignment horizontal="center" vertical="center"/>
    </xf>
    <xf numFmtId="0" fontId="0" fillId="0" borderId="0" xfId="0" applyFont="1">
      <alignment vertical="center"/>
    </xf>
    <xf numFmtId="0" fontId="0" fillId="0" borderId="1" xfId="0" applyFont="1" applyBorder="1" applyAlignment="1">
      <alignment horizontal="center" vertical="center"/>
    </xf>
    <xf numFmtId="0" fontId="0" fillId="3" borderId="1" xfId="0" applyFont="1" applyFill="1" applyBorder="1" applyAlignment="1">
      <alignment horizontal="center" vertical="center"/>
    </xf>
    <xf numFmtId="179" fontId="0" fillId="0" borderId="1" xfId="0" applyNumberFormat="1" applyFont="1" applyBorder="1" applyAlignment="1">
      <alignment horizontal="center" vertical="center"/>
    </xf>
    <xf numFmtId="0" fontId="0" fillId="0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41" fontId="5" fillId="0" borderId="1" xfId="1" applyFont="1" applyBorder="1" applyAlignment="1">
      <alignment horizontal="center" vertical="center"/>
    </xf>
    <xf numFmtId="0" fontId="4" fillId="0" borderId="0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180" fontId="4" fillId="0" borderId="1" xfId="1" applyNumberFormat="1" applyFont="1" applyBorder="1" applyAlignment="1">
      <alignment horizontal="center" vertical="center"/>
    </xf>
    <xf numFmtId="41" fontId="4" fillId="0" borderId="1" xfId="1" applyFont="1" applyBorder="1" applyAlignment="1">
      <alignment horizontal="center" vertical="center"/>
    </xf>
    <xf numFmtId="0" fontId="4" fillId="0" borderId="0" xfId="0" applyFont="1" applyAlignment="1">
      <alignment vertical="center"/>
    </xf>
    <xf numFmtId="0" fontId="6" fillId="0" borderId="5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180" fontId="4" fillId="0" borderId="1" xfId="1" applyNumberFormat="1" applyFont="1" applyBorder="1" applyAlignment="1">
      <alignment vertical="center"/>
    </xf>
    <xf numFmtId="0" fontId="4" fillId="0" borderId="0" xfId="0" applyFont="1" applyFill="1">
      <alignment vertical="center"/>
    </xf>
    <xf numFmtId="0" fontId="5" fillId="0" borderId="1" xfId="3" applyFont="1" applyFill="1" applyBorder="1" applyAlignment="1">
      <alignment horizontal="center"/>
    </xf>
    <xf numFmtId="0" fontId="5" fillId="0" borderId="1" xfId="4" applyFont="1" applyBorder="1" applyAlignment="1">
      <alignment horizontal="center" shrinkToFit="1"/>
    </xf>
    <xf numFmtId="0" fontId="5" fillId="0" borderId="1" xfId="4" applyFont="1" applyBorder="1" applyAlignment="1">
      <alignment horizontal="center"/>
    </xf>
    <xf numFmtId="0" fontId="5" fillId="0" borderId="1" xfId="5" applyFont="1" applyBorder="1" applyAlignment="1">
      <alignment horizontal="center"/>
    </xf>
    <xf numFmtId="41" fontId="4" fillId="0" borderId="1" xfId="1" applyFont="1" applyBorder="1" applyAlignment="1">
      <alignment horizontal="center"/>
    </xf>
    <xf numFmtId="3" fontId="4" fillId="0" borderId="1" xfId="0" applyNumberFormat="1" applyFont="1" applyBorder="1">
      <alignment vertical="center"/>
    </xf>
    <xf numFmtId="0" fontId="5" fillId="0" borderId="0" xfId="4" applyFont="1"/>
    <xf numFmtId="180" fontId="4" fillId="0" borderId="1" xfId="0" applyNumberFormat="1" applyFont="1" applyBorder="1">
      <alignment vertical="center"/>
    </xf>
    <xf numFmtId="0" fontId="6" fillId="0" borderId="0" xfId="0" applyFont="1">
      <alignment vertical="center"/>
    </xf>
    <xf numFmtId="0" fontId="4" fillId="0" borderId="1" xfId="0" applyFont="1" applyBorder="1" applyAlignment="1">
      <alignment horizontal="center" vertical="center" wrapText="1"/>
    </xf>
    <xf numFmtId="0" fontId="5" fillId="5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 wrapText="1"/>
    </xf>
    <xf numFmtId="0" fontId="4" fillId="6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/>
    </xf>
    <xf numFmtId="0" fontId="4" fillId="5" borderId="1" xfId="0" applyFont="1" applyFill="1" applyBorder="1" applyAlignment="1">
      <alignment horizontal="center"/>
    </xf>
    <xf numFmtId="41" fontId="5" fillId="0" borderId="1" xfId="1" applyFont="1" applyBorder="1" applyAlignment="1">
      <alignment vertical="center"/>
    </xf>
    <xf numFmtId="0" fontId="4" fillId="5" borderId="1" xfId="0" applyFont="1" applyFill="1" applyBorder="1">
      <alignment vertical="center"/>
    </xf>
    <xf numFmtId="0" fontId="4" fillId="0" borderId="0" xfId="0" applyFont="1" applyFill="1" applyAlignment="1">
      <alignment vertical="center"/>
    </xf>
    <xf numFmtId="0" fontId="0" fillId="0" borderId="0" xfId="0" applyAlignment="1">
      <alignment vertical="center"/>
    </xf>
    <xf numFmtId="0" fontId="5" fillId="0" borderId="1" xfId="3" applyFont="1" applyFill="1" applyBorder="1" applyAlignment="1">
      <alignment horizontal="center" vertical="center"/>
    </xf>
    <xf numFmtId="0" fontId="5" fillId="0" borderId="1" xfId="4" applyFont="1" applyBorder="1" applyAlignment="1">
      <alignment horizontal="center" vertical="center" shrinkToFit="1"/>
    </xf>
    <xf numFmtId="0" fontId="5" fillId="0" borderId="1" xfId="4" applyFont="1" applyBorder="1" applyAlignment="1">
      <alignment horizontal="center" vertical="center"/>
    </xf>
    <xf numFmtId="0" fontId="5" fillId="0" borderId="1" xfId="5" applyFont="1" applyBorder="1" applyAlignment="1">
      <alignment horizontal="center" vertical="center"/>
    </xf>
    <xf numFmtId="3" fontId="4" fillId="0" borderId="1" xfId="0" applyNumberFormat="1" applyFont="1" applyBorder="1" applyAlignment="1">
      <alignment vertical="center"/>
    </xf>
    <xf numFmtId="0" fontId="5" fillId="0" borderId="0" xfId="4" applyFont="1" applyAlignment="1">
      <alignment vertical="center"/>
    </xf>
    <xf numFmtId="0" fontId="6" fillId="0" borderId="0" xfId="0" applyFont="1" applyAlignment="1">
      <alignment vertical="center"/>
    </xf>
    <xf numFmtId="0" fontId="4" fillId="5" borderId="1" xfId="0" applyFont="1" applyFill="1" applyBorder="1" applyAlignment="1">
      <alignment vertical="center"/>
    </xf>
    <xf numFmtId="180" fontId="4" fillId="0" borderId="1" xfId="0" applyNumberFormat="1" applyFont="1" applyBorder="1" applyAlignment="1">
      <alignment vertical="center"/>
    </xf>
    <xf numFmtId="0" fontId="5" fillId="0" borderId="1" xfId="0" applyFont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181" fontId="4" fillId="2" borderId="1" xfId="0" applyNumberFormat="1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4" fillId="2" borderId="1" xfId="0" applyFont="1" applyFill="1" applyBorder="1">
      <alignment vertical="center"/>
    </xf>
    <xf numFmtId="0" fontId="0" fillId="2" borderId="1" xfId="0" applyFont="1" applyFill="1" applyBorder="1" applyAlignment="1">
      <alignment horizontal="center" vertical="center"/>
    </xf>
    <xf numFmtId="0" fontId="0" fillId="2" borderId="1" xfId="0" applyFont="1" applyFill="1" applyBorder="1">
      <alignment vertical="center"/>
    </xf>
    <xf numFmtId="0" fontId="0" fillId="4" borderId="1" xfId="0" applyFont="1" applyFill="1" applyBorder="1" applyAlignment="1">
      <alignment horizontal="center" vertical="center"/>
    </xf>
    <xf numFmtId="0" fontId="0" fillId="0" borderId="1" xfId="0" applyFont="1" applyBorder="1">
      <alignment vertical="center"/>
    </xf>
    <xf numFmtId="0" fontId="5" fillId="0" borderId="0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vertical="center"/>
    </xf>
    <xf numFmtId="0" fontId="5" fillId="2" borderId="1" xfId="0" applyFont="1" applyFill="1" applyBorder="1">
      <alignment vertical="center"/>
    </xf>
    <xf numFmtId="0" fontId="5" fillId="0" borderId="0" xfId="0" applyFont="1" applyFill="1" applyAlignment="1">
      <alignment horizontal="right" vertical="center"/>
    </xf>
    <xf numFmtId="0" fontId="5" fillId="0" borderId="0" xfId="0" applyFont="1" applyFill="1" applyAlignment="1">
      <alignment vertical="center"/>
    </xf>
    <xf numFmtId="0" fontId="4" fillId="2" borderId="1" xfId="0" applyFont="1" applyFill="1" applyBorder="1" applyAlignment="1">
      <alignment vertical="center"/>
    </xf>
    <xf numFmtId="0" fontId="5" fillId="0" borderId="1" xfId="0" applyFont="1" applyFill="1" applyBorder="1" applyAlignment="1">
      <alignment vertical="center"/>
    </xf>
    <xf numFmtId="2" fontId="5" fillId="0" borderId="1" xfId="0" applyNumberFormat="1" applyFont="1" applyFill="1" applyBorder="1" applyAlignment="1">
      <alignment vertical="center"/>
    </xf>
    <xf numFmtId="0" fontId="4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/>
    </xf>
    <xf numFmtId="0" fontId="5" fillId="0" borderId="0" xfId="0" applyFont="1" applyFill="1">
      <alignment vertical="center"/>
    </xf>
    <xf numFmtId="0" fontId="4" fillId="2" borderId="1" xfId="0" applyFont="1" applyFill="1" applyBorder="1" applyAlignment="1">
      <alignment horizontal="center" vertical="center"/>
    </xf>
    <xf numFmtId="0" fontId="9" fillId="0" borderId="0" xfId="0" applyFont="1" applyFill="1">
      <alignment vertical="center"/>
    </xf>
    <xf numFmtId="0" fontId="4" fillId="0" borderId="1" xfId="1" applyNumberFormat="1" applyFont="1" applyBorder="1" applyAlignment="1">
      <alignment horizontal="center"/>
    </xf>
    <xf numFmtId="183" fontId="4" fillId="0" borderId="1" xfId="1" applyNumberFormat="1" applyFont="1" applyBorder="1" applyAlignment="1">
      <alignment horizontal="center"/>
    </xf>
    <xf numFmtId="0" fontId="5" fillId="0" borderId="0" xfId="0" applyFont="1" applyAlignment="1"/>
    <xf numFmtId="0" fontId="5" fillId="0" borderId="7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178" fontId="5" fillId="0" borderId="1" xfId="0" applyNumberFormat="1" applyFont="1" applyBorder="1" applyAlignment="1">
      <alignment horizontal="center" vertical="center"/>
    </xf>
    <xf numFmtId="178" fontId="5" fillId="0" borderId="1" xfId="0" applyNumberFormat="1" applyFont="1" applyFill="1" applyBorder="1" applyAlignment="1">
      <alignment horizontal="center" vertical="center"/>
    </xf>
    <xf numFmtId="180" fontId="5" fillId="0" borderId="1" xfId="2" applyNumberFormat="1" applyFont="1" applyBorder="1" applyAlignment="1"/>
    <xf numFmtId="0" fontId="5" fillId="0" borderId="0" xfId="0" applyFont="1" applyAlignment="1">
      <alignment horizontal="center"/>
    </xf>
    <xf numFmtId="0" fontId="5" fillId="0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182" fontId="5" fillId="0" borderId="1" xfId="0" applyNumberFormat="1" applyFont="1" applyBorder="1" applyAlignment="1">
      <alignment horizontal="right"/>
    </xf>
    <xf numFmtId="182" fontId="5" fillId="0" borderId="1" xfId="1" applyNumberFormat="1" applyFont="1" applyBorder="1" applyAlignment="1">
      <alignment horizontal="right"/>
    </xf>
    <xf numFmtId="180" fontId="5" fillId="0" borderId="1" xfId="0" applyNumberFormat="1" applyFont="1" applyBorder="1" applyAlignment="1"/>
    <xf numFmtId="180" fontId="5" fillId="0" borderId="1" xfId="0" applyNumberFormat="1" applyFont="1" applyBorder="1">
      <alignment vertical="center"/>
    </xf>
    <xf numFmtId="0" fontId="5" fillId="2" borderId="1" xfId="0" applyFont="1" applyFill="1" applyBorder="1" applyAlignment="1">
      <alignment horizontal="center"/>
    </xf>
    <xf numFmtId="41" fontId="5" fillId="0" borderId="1" xfId="1" applyFont="1" applyFill="1" applyBorder="1" applyAlignment="1">
      <alignment vertical="center"/>
    </xf>
    <xf numFmtId="183" fontId="5" fillId="0" borderId="1" xfId="1" applyNumberFormat="1" applyFont="1" applyBorder="1">
      <alignment vertical="center"/>
    </xf>
    <xf numFmtId="0" fontId="6" fillId="0" borderId="0" xfId="6" applyFont="1" applyFill="1" applyBorder="1" applyAlignment="1">
      <alignment horizontal="left"/>
    </xf>
    <xf numFmtId="0" fontId="5" fillId="0" borderId="0" xfId="6" applyFont="1" applyFill="1" applyBorder="1" applyAlignment="1">
      <alignment horizontal="center"/>
    </xf>
    <xf numFmtId="0" fontId="5" fillId="0" borderId="0" xfId="6" applyFont="1" applyAlignment="1">
      <alignment horizontal="center"/>
    </xf>
    <xf numFmtId="0" fontId="5" fillId="0" borderId="0" xfId="6" applyFont="1" applyAlignment="1"/>
    <xf numFmtId="0" fontId="5" fillId="0" borderId="0" xfId="7" applyFont="1">
      <alignment vertical="center"/>
    </xf>
    <xf numFmtId="0" fontId="10" fillId="0" borderId="0" xfId="7" applyFont="1" applyAlignment="1">
      <alignment horizontal="left" vertical="center"/>
    </xf>
    <xf numFmtId="0" fontId="6" fillId="0" borderId="0" xfId="7" applyFont="1">
      <alignment vertical="center"/>
    </xf>
    <xf numFmtId="0" fontId="5" fillId="0" borderId="1" xfId="7" applyFont="1" applyBorder="1" applyAlignment="1">
      <alignment horizontal="center"/>
    </xf>
    <xf numFmtId="0" fontId="5" fillId="0" borderId="1" xfId="6" applyFont="1" applyBorder="1" applyAlignment="1">
      <alignment horizontal="center"/>
    </xf>
    <xf numFmtId="0" fontId="5" fillId="2" borderId="1" xfId="6" applyFont="1" applyFill="1" applyBorder="1" applyAlignment="1">
      <alignment horizontal="center"/>
    </xf>
    <xf numFmtId="14" fontId="5" fillId="0" borderId="1" xfId="7" applyNumberFormat="1" applyFont="1" applyBorder="1" applyAlignment="1">
      <alignment horizontal="center"/>
    </xf>
    <xf numFmtId="0" fontId="5" fillId="0" borderId="0" xfId="6" applyFont="1" applyBorder="1" applyAlignment="1"/>
    <xf numFmtId="0" fontId="5" fillId="0" borderId="1" xfId="7" applyFont="1" applyFill="1" applyBorder="1" applyAlignment="1">
      <alignment horizontal="center"/>
    </xf>
    <xf numFmtId="0" fontId="10" fillId="0" borderId="0" xfId="7" applyFont="1" applyAlignment="1">
      <alignment horizontal="left"/>
    </xf>
    <xf numFmtId="0" fontId="5" fillId="0" borderId="0" xfId="7" applyFont="1" applyAlignment="1">
      <alignment horizontal="left"/>
    </xf>
    <xf numFmtId="0" fontId="6" fillId="0" borderId="0" xfId="7" applyFont="1" applyAlignment="1">
      <alignment horizontal="center"/>
    </xf>
    <xf numFmtId="0" fontId="5" fillId="0" borderId="0" xfId="7" applyFont="1" applyAlignment="1">
      <alignment horizontal="center"/>
    </xf>
    <xf numFmtId="0" fontId="11" fillId="0" borderId="0" xfId="7" applyFont="1" applyAlignment="1">
      <alignment horizontal="left"/>
    </xf>
    <xf numFmtId="0" fontId="5" fillId="0" borderId="3" xfId="7" applyFont="1" applyBorder="1" applyAlignment="1">
      <alignment horizontal="center"/>
    </xf>
    <xf numFmtId="0" fontId="5" fillId="2" borderId="1" xfId="7" applyFont="1" applyFill="1" applyBorder="1" applyAlignment="1">
      <alignment horizontal="center"/>
    </xf>
    <xf numFmtId="0" fontId="5" fillId="2" borderId="1" xfId="7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41" fontId="4" fillId="0" borderId="1" xfId="1" applyFont="1" applyBorder="1">
      <alignment vertical="center"/>
    </xf>
    <xf numFmtId="0" fontId="0" fillId="7" borderId="1" xfId="0" applyFill="1" applyBorder="1" applyAlignment="1">
      <alignment horizontal="center" vertical="center"/>
    </xf>
    <xf numFmtId="0" fontId="4" fillId="0" borderId="0" xfId="0" applyFont="1" applyAlignment="1">
      <alignment horizontal="right" vertical="center"/>
    </xf>
    <xf numFmtId="0" fontId="4" fillId="0" borderId="0" xfId="8" applyFont="1" applyFill="1" applyBorder="1" applyAlignment="1">
      <alignment horizontal="left"/>
    </xf>
    <xf numFmtId="0" fontId="4" fillId="0" borderId="1" xfId="8" applyFont="1" applyFill="1" applyBorder="1" applyAlignment="1">
      <alignment horizontal="center"/>
    </xf>
    <xf numFmtId="0" fontId="4" fillId="0" borderId="0" xfId="0" applyFont="1" applyBorder="1" applyAlignment="1">
      <alignment horizontal="center" vertical="center"/>
    </xf>
    <xf numFmtId="0" fontId="5" fillId="0" borderId="1" xfId="0" applyNumberFormat="1" applyFont="1" applyBorder="1" applyAlignment="1">
      <alignment horizontal="center" vertical="center"/>
    </xf>
    <xf numFmtId="0" fontId="5" fillId="0" borderId="1" xfId="8" applyFont="1" applyFill="1" applyBorder="1" applyAlignment="1">
      <alignment horizontal="center"/>
    </xf>
    <xf numFmtId="0" fontId="5" fillId="2" borderId="1" xfId="3" applyFont="1" applyFill="1" applyBorder="1" applyAlignment="1">
      <alignment horizontal="center"/>
    </xf>
    <xf numFmtId="0" fontId="5" fillId="0" borderId="0" xfId="8" applyFont="1" applyFill="1" applyBorder="1" applyAlignment="1">
      <alignment horizontal="center"/>
    </xf>
    <xf numFmtId="0" fontId="6" fillId="0" borderId="5" xfId="0" applyFont="1" applyBorder="1" applyAlignment="1">
      <alignment horizontal="center"/>
    </xf>
    <xf numFmtId="179" fontId="5" fillId="0" borderId="1" xfId="0" applyNumberFormat="1" applyFont="1" applyFill="1" applyBorder="1" applyAlignment="1">
      <alignment horizontal="center"/>
    </xf>
    <xf numFmtId="185" fontId="4" fillId="0" borderId="6" xfId="0" applyNumberFormat="1" applyFont="1" applyFill="1" applyBorder="1" applyAlignment="1">
      <alignment horizontal="center" vertical="center"/>
    </xf>
    <xf numFmtId="0" fontId="4" fillId="0" borderId="6" xfId="0" applyNumberFormat="1" applyFont="1" applyFill="1" applyBorder="1" applyAlignment="1">
      <alignment horizontal="center" vertical="center"/>
    </xf>
    <xf numFmtId="0" fontId="4" fillId="0" borderId="6" xfId="1" applyNumberFormat="1" applyFont="1" applyFill="1" applyBorder="1" applyAlignment="1">
      <alignment horizontal="center" vertical="center"/>
    </xf>
    <xf numFmtId="185" fontId="4" fillId="0" borderId="0" xfId="0" applyNumberFormat="1" applyFont="1" applyFill="1" applyBorder="1" applyAlignment="1">
      <alignment vertical="center"/>
    </xf>
    <xf numFmtId="0" fontId="4" fillId="0" borderId="0" xfId="0" applyNumberFormat="1" applyFont="1" applyFill="1" applyBorder="1" applyAlignment="1">
      <alignment horizontal="center" vertical="center"/>
    </xf>
    <xf numFmtId="41" fontId="4" fillId="0" borderId="0" xfId="1" applyFont="1" applyFill="1" applyBorder="1" applyAlignment="1">
      <alignment vertical="center"/>
    </xf>
    <xf numFmtId="185" fontId="12" fillId="0" borderId="0" xfId="0" applyNumberFormat="1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horizontal="center" vertical="center"/>
    </xf>
    <xf numFmtId="0" fontId="0" fillId="7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5" fillId="0" borderId="1" xfId="3" applyFont="1" applyFill="1" applyBorder="1" applyAlignment="1">
      <alignment horizontal="center"/>
    </xf>
    <xf numFmtId="0" fontId="4" fillId="3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180" fontId="5" fillId="0" borderId="1" xfId="1" applyNumberFormat="1" applyFont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/>
    </xf>
    <xf numFmtId="0" fontId="5" fillId="0" borderId="1" xfId="0" applyFont="1" applyBorder="1" applyAlignment="1">
      <alignment horizontal="center"/>
    </xf>
    <xf numFmtId="0" fontId="5" fillId="0" borderId="1" xfId="0" applyFont="1" applyBorder="1" applyAlignment="1">
      <alignment horizontal="center" vertical="center"/>
    </xf>
    <xf numFmtId="0" fontId="6" fillId="0" borderId="3" xfId="0" applyFont="1" applyFill="1" applyBorder="1" applyAlignment="1">
      <alignment horizontal="center" vertical="center"/>
    </xf>
    <xf numFmtId="0" fontId="6" fillId="0" borderId="6" xfId="0" applyFont="1" applyFill="1" applyBorder="1" applyAlignment="1">
      <alignment horizontal="center" vertical="center"/>
    </xf>
    <xf numFmtId="0" fontId="6" fillId="0" borderId="4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/>
    </xf>
    <xf numFmtId="0" fontId="5" fillId="2" borderId="1" xfId="7" applyFont="1" applyFill="1" applyBorder="1" applyAlignment="1">
      <alignment horizontal="center"/>
    </xf>
    <xf numFmtId="0" fontId="5" fillId="0" borderId="1" xfId="7" applyFont="1" applyBorder="1" applyAlignment="1">
      <alignment horizontal="center" vertical="center"/>
    </xf>
    <xf numFmtId="0" fontId="6" fillId="0" borderId="5" xfId="7" applyFont="1" applyBorder="1" applyAlignment="1">
      <alignment horizontal="center"/>
    </xf>
    <xf numFmtId="0" fontId="4" fillId="4" borderId="7" xfId="0" applyFont="1" applyFill="1" applyBorder="1" applyAlignment="1">
      <alignment horizontal="left" vertical="center"/>
    </xf>
    <xf numFmtId="0" fontId="4" fillId="4" borderId="8" xfId="0" applyFont="1" applyFill="1" applyBorder="1" applyAlignment="1">
      <alignment horizontal="left" vertical="center"/>
    </xf>
    <xf numFmtId="0" fontId="13" fillId="0" borderId="0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4" fillId="4" borderId="1" xfId="1" applyNumberFormat="1" applyFont="1" applyFill="1" applyBorder="1" applyAlignment="1">
      <alignment horizontal="left" vertical="center"/>
    </xf>
    <xf numFmtId="41" fontId="4" fillId="0" borderId="1" xfId="1" applyFont="1" applyFill="1" applyBorder="1" applyAlignment="1">
      <alignment horizontal="center" vertical="center"/>
    </xf>
    <xf numFmtId="0" fontId="4" fillId="4" borderId="1" xfId="0" applyFont="1" applyFill="1" applyBorder="1" applyAlignment="1">
      <alignment horizontal="left" vertical="center" wrapText="1"/>
    </xf>
    <xf numFmtId="0" fontId="4" fillId="4" borderId="1" xfId="0" applyFont="1" applyFill="1" applyBorder="1" applyAlignment="1">
      <alignment horizontal="left" vertical="center"/>
    </xf>
    <xf numFmtId="41" fontId="4" fillId="0" borderId="1" xfId="1" applyFont="1" applyBorder="1" applyAlignment="1">
      <alignment horizontal="center" vertical="center"/>
    </xf>
    <xf numFmtId="0" fontId="5" fillId="0" borderId="1" xfId="0" applyNumberFormat="1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 textRotation="255"/>
    </xf>
    <xf numFmtId="0" fontId="0" fillId="0" borderId="3" xfId="0" applyFont="1" applyBorder="1" applyAlignment="1">
      <alignment horizontal="left" vertical="center"/>
    </xf>
    <xf numFmtId="0" fontId="0" fillId="0" borderId="6" xfId="0" applyFont="1" applyBorder="1" applyAlignment="1">
      <alignment horizontal="left" vertical="center"/>
    </xf>
    <xf numFmtId="0" fontId="0" fillId="0" borderId="4" xfId="0" applyFont="1" applyBorder="1" applyAlignment="1">
      <alignment horizontal="left" vertical="center"/>
    </xf>
    <xf numFmtId="0" fontId="0" fillId="7" borderId="3" xfId="0" applyFont="1" applyFill="1" applyBorder="1" applyAlignment="1">
      <alignment horizontal="center" vertical="center"/>
    </xf>
    <xf numFmtId="0" fontId="0" fillId="7" borderId="4" xfId="0" applyFont="1" applyFill="1" applyBorder="1" applyAlignment="1">
      <alignment horizontal="center" vertical="center"/>
    </xf>
    <xf numFmtId="0" fontId="0" fillId="0" borderId="1" xfId="0" applyFont="1" applyBorder="1" applyAlignment="1">
      <alignment horizontal="left" vertical="center"/>
    </xf>
    <xf numFmtId="0" fontId="0" fillId="7" borderId="1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0" borderId="0" xfId="0" applyAlignment="1">
      <alignment horizontal="center" vertical="center" textRotation="255"/>
    </xf>
    <xf numFmtId="0" fontId="0" fillId="0" borderId="3" xfId="0" applyBorder="1" applyAlignment="1">
      <alignment horizontal="left" vertical="center"/>
    </xf>
    <xf numFmtId="0" fontId="0" fillId="0" borderId="6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7" borderId="3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185" fontId="4" fillId="0" borderId="5" xfId="0" applyNumberFormat="1" applyFont="1" applyFill="1" applyBorder="1" applyAlignment="1">
      <alignment vertical="center"/>
    </xf>
    <xf numFmtId="0" fontId="4" fillId="0" borderId="5" xfId="0" applyNumberFormat="1" applyFont="1" applyFill="1" applyBorder="1" applyAlignment="1">
      <alignment horizontal="center" vertical="center"/>
    </xf>
    <xf numFmtId="41" fontId="4" fillId="0" borderId="5" xfId="1" applyFont="1" applyFill="1" applyBorder="1" applyAlignment="1">
      <alignment vertical="center"/>
    </xf>
  </cellXfs>
  <cellStyles count="10">
    <cellStyle name="백분율" xfId="2" builtinId="5"/>
    <cellStyle name="쉼표 [0]" xfId="1" builtinId="6"/>
    <cellStyle name="표준" xfId="0" builtinId="0"/>
    <cellStyle name="표준 2" xfId="9"/>
    <cellStyle name="표준_seti" xfId="7"/>
    <cellStyle name="표준_계산작업" xfId="5"/>
    <cellStyle name="표준_기본작업-2" xfId="4"/>
    <cellStyle name="표준_기본작업-3" xfId="3"/>
    <cellStyle name="표준_소책자(1급)" xfId="8"/>
    <cellStyle name="표준_통계_seti" xfId="6"/>
  </cellStyles>
  <dxfs count="2">
    <dxf>
      <font>
        <b val="0"/>
        <i val="0"/>
        <condense val="0"/>
        <extend val="0"/>
        <color auto="1"/>
      </font>
    </dxf>
    <dxf>
      <font>
        <b val="0"/>
        <i val="0"/>
        <condense val="0"/>
        <extend val="0"/>
        <color auto="1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mp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tmp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tmp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tmp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tmp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tmp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mp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mp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mp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mp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tmp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tmp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tm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11</xdr:row>
      <xdr:rowOff>38100</xdr:rowOff>
    </xdr:from>
    <xdr:to>
      <xdr:col>7</xdr:col>
      <xdr:colOff>971551</xdr:colOff>
      <xdr:row>15</xdr:row>
      <xdr:rowOff>83356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343150"/>
          <a:ext cx="6115050" cy="88345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238125</xdr:colOff>
      <xdr:row>0</xdr:row>
      <xdr:rowOff>142875</xdr:rowOff>
    </xdr:from>
    <xdr:to>
      <xdr:col>17</xdr:col>
      <xdr:colOff>450244</xdr:colOff>
      <xdr:row>16</xdr:row>
      <xdr:rowOff>0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1825" y="142875"/>
          <a:ext cx="5698519" cy="32099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23</xdr:row>
      <xdr:rowOff>171450</xdr:rowOff>
    </xdr:from>
    <xdr:to>
      <xdr:col>9</xdr:col>
      <xdr:colOff>238126</xdr:colOff>
      <xdr:row>31</xdr:row>
      <xdr:rowOff>14420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991100"/>
          <a:ext cx="6819900" cy="151937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21</xdr:row>
      <xdr:rowOff>114300</xdr:rowOff>
    </xdr:from>
    <xdr:to>
      <xdr:col>9</xdr:col>
      <xdr:colOff>1276350</xdr:colOff>
      <xdr:row>27</xdr:row>
      <xdr:rowOff>115857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" y="4705350"/>
          <a:ext cx="6334125" cy="125885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19050</xdr:rowOff>
    </xdr:from>
    <xdr:to>
      <xdr:col>7</xdr:col>
      <xdr:colOff>653267</xdr:colOff>
      <xdr:row>42</xdr:row>
      <xdr:rowOff>66675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38700"/>
          <a:ext cx="5711042" cy="4029075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161925</xdr:colOff>
      <xdr:row>1</xdr:row>
      <xdr:rowOff>323850</xdr:rowOff>
    </xdr:from>
    <xdr:to>
      <xdr:col>15</xdr:col>
      <xdr:colOff>95250</xdr:colOff>
      <xdr:row>5</xdr:row>
      <xdr:rowOff>149149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76725" y="533400"/>
          <a:ext cx="6105525" cy="1234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</xdr:row>
      <xdr:rowOff>171450</xdr:rowOff>
    </xdr:from>
    <xdr:to>
      <xdr:col>7</xdr:col>
      <xdr:colOff>192977</xdr:colOff>
      <xdr:row>25</xdr:row>
      <xdr:rowOff>19050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33800"/>
          <a:ext cx="6879527" cy="1524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447675</xdr:colOff>
      <xdr:row>0</xdr:row>
      <xdr:rowOff>0</xdr:rowOff>
    </xdr:from>
    <xdr:to>
      <xdr:col>18</xdr:col>
      <xdr:colOff>447675</xdr:colOff>
      <xdr:row>15</xdr:row>
      <xdr:rowOff>207295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6075" y="0"/>
          <a:ext cx="6334125" cy="335054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84854</xdr:colOff>
      <xdr:row>0</xdr:row>
      <xdr:rowOff>0</xdr:rowOff>
    </xdr:from>
    <xdr:to>
      <xdr:col>17</xdr:col>
      <xdr:colOff>591598</xdr:colOff>
      <xdr:row>19</xdr:row>
      <xdr:rowOff>19050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9554" y="0"/>
          <a:ext cx="5993144" cy="40005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14</xdr:row>
      <xdr:rowOff>9526</xdr:rowOff>
    </xdr:from>
    <xdr:to>
      <xdr:col>6</xdr:col>
      <xdr:colOff>533401</xdr:colOff>
      <xdr:row>20</xdr:row>
      <xdr:rowOff>112652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43226"/>
          <a:ext cx="5848350" cy="136042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200025</xdr:rowOff>
    </xdr:from>
    <xdr:to>
      <xdr:col>4</xdr:col>
      <xdr:colOff>152400</xdr:colOff>
      <xdr:row>14</xdr:row>
      <xdr:rowOff>95152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6875"/>
          <a:ext cx="6353175" cy="136197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19</xdr:row>
      <xdr:rowOff>123825</xdr:rowOff>
    </xdr:from>
    <xdr:to>
      <xdr:col>6</xdr:col>
      <xdr:colOff>381001</xdr:colOff>
      <xdr:row>24</xdr:row>
      <xdr:rowOff>140098</xdr:rowOff>
    </xdr:to>
    <xdr:pic>
      <xdr:nvPicPr>
        <xdr:cNvPr id="2" name="그림 1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105275"/>
          <a:ext cx="6610350" cy="106402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57150</xdr:colOff>
      <xdr:row>1</xdr:row>
      <xdr:rowOff>95250</xdr:rowOff>
    </xdr:from>
    <xdr:to>
      <xdr:col>2</xdr:col>
      <xdr:colOff>704850</xdr:colOff>
      <xdr:row>1</xdr:row>
      <xdr:rowOff>95250</xdr:rowOff>
    </xdr:to>
    <xdr:sp macro="" textlink="">
      <xdr:nvSpPr>
        <xdr:cNvPr id="2" name="Line 3"/>
        <xdr:cNvSpPr>
          <a:spLocks noChangeShapeType="1"/>
        </xdr:cNvSpPr>
      </xdr:nvSpPr>
      <xdr:spPr bwMode="auto">
        <a:xfrm>
          <a:off x="1581150" y="28575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2</xdr:col>
      <xdr:colOff>57150</xdr:colOff>
      <xdr:row>3</xdr:row>
      <xdr:rowOff>95250</xdr:rowOff>
    </xdr:from>
    <xdr:to>
      <xdr:col>2</xdr:col>
      <xdr:colOff>704850</xdr:colOff>
      <xdr:row>3</xdr:row>
      <xdr:rowOff>95250</xdr:rowOff>
    </xdr:to>
    <xdr:sp macro="" textlink="">
      <xdr:nvSpPr>
        <xdr:cNvPr id="3" name="Line 4"/>
        <xdr:cNvSpPr>
          <a:spLocks noChangeShapeType="1"/>
        </xdr:cNvSpPr>
      </xdr:nvSpPr>
      <xdr:spPr bwMode="auto">
        <a:xfrm>
          <a:off x="1581150" y="66675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2</xdr:col>
      <xdr:colOff>57150</xdr:colOff>
      <xdr:row>5</xdr:row>
      <xdr:rowOff>66675</xdr:rowOff>
    </xdr:from>
    <xdr:to>
      <xdr:col>2</xdr:col>
      <xdr:colOff>704850</xdr:colOff>
      <xdr:row>5</xdr:row>
      <xdr:rowOff>66675</xdr:rowOff>
    </xdr:to>
    <xdr:sp macro="" textlink="">
      <xdr:nvSpPr>
        <xdr:cNvPr id="4" name="Line 5"/>
        <xdr:cNvSpPr>
          <a:spLocks noChangeShapeType="1"/>
        </xdr:cNvSpPr>
      </xdr:nvSpPr>
      <xdr:spPr bwMode="auto">
        <a:xfrm>
          <a:off x="1581150" y="1019175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6</xdr:col>
      <xdr:colOff>57150</xdr:colOff>
      <xdr:row>1</xdr:row>
      <xdr:rowOff>95250</xdr:rowOff>
    </xdr:from>
    <xdr:to>
      <xdr:col>6</xdr:col>
      <xdr:colOff>704850</xdr:colOff>
      <xdr:row>1</xdr:row>
      <xdr:rowOff>95250</xdr:rowOff>
    </xdr:to>
    <xdr:sp macro="" textlink="">
      <xdr:nvSpPr>
        <xdr:cNvPr id="5" name="Line 8"/>
        <xdr:cNvSpPr>
          <a:spLocks noChangeShapeType="1"/>
        </xdr:cNvSpPr>
      </xdr:nvSpPr>
      <xdr:spPr bwMode="auto">
        <a:xfrm>
          <a:off x="4629150" y="28575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6</xdr:col>
      <xdr:colOff>57150</xdr:colOff>
      <xdr:row>3</xdr:row>
      <xdr:rowOff>114300</xdr:rowOff>
    </xdr:from>
    <xdr:to>
      <xdr:col>6</xdr:col>
      <xdr:colOff>704850</xdr:colOff>
      <xdr:row>3</xdr:row>
      <xdr:rowOff>114300</xdr:rowOff>
    </xdr:to>
    <xdr:sp macro="" textlink="">
      <xdr:nvSpPr>
        <xdr:cNvPr id="6" name="Line 9"/>
        <xdr:cNvSpPr>
          <a:spLocks noChangeShapeType="1"/>
        </xdr:cNvSpPr>
      </xdr:nvSpPr>
      <xdr:spPr bwMode="auto">
        <a:xfrm>
          <a:off x="4629150" y="68580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2</xdr:col>
      <xdr:colOff>57150</xdr:colOff>
      <xdr:row>1</xdr:row>
      <xdr:rowOff>95250</xdr:rowOff>
    </xdr:from>
    <xdr:to>
      <xdr:col>2</xdr:col>
      <xdr:colOff>704850</xdr:colOff>
      <xdr:row>1</xdr:row>
      <xdr:rowOff>95250</xdr:rowOff>
    </xdr:to>
    <xdr:sp macro="" textlink="">
      <xdr:nvSpPr>
        <xdr:cNvPr id="7" name="Line 34"/>
        <xdr:cNvSpPr>
          <a:spLocks noChangeShapeType="1"/>
        </xdr:cNvSpPr>
      </xdr:nvSpPr>
      <xdr:spPr bwMode="auto">
        <a:xfrm>
          <a:off x="1581150" y="28575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2</xdr:col>
      <xdr:colOff>57150</xdr:colOff>
      <xdr:row>3</xdr:row>
      <xdr:rowOff>95250</xdr:rowOff>
    </xdr:from>
    <xdr:to>
      <xdr:col>2</xdr:col>
      <xdr:colOff>704850</xdr:colOff>
      <xdr:row>3</xdr:row>
      <xdr:rowOff>95250</xdr:rowOff>
    </xdr:to>
    <xdr:sp macro="" textlink="">
      <xdr:nvSpPr>
        <xdr:cNvPr id="8" name="Line 35"/>
        <xdr:cNvSpPr>
          <a:spLocks noChangeShapeType="1"/>
        </xdr:cNvSpPr>
      </xdr:nvSpPr>
      <xdr:spPr bwMode="auto">
        <a:xfrm>
          <a:off x="1581150" y="66675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2</xdr:col>
      <xdr:colOff>57150</xdr:colOff>
      <xdr:row>5</xdr:row>
      <xdr:rowOff>66675</xdr:rowOff>
    </xdr:from>
    <xdr:to>
      <xdr:col>2</xdr:col>
      <xdr:colOff>704850</xdr:colOff>
      <xdr:row>5</xdr:row>
      <xdr:rowOff>66675</xdr:rowOff>
    </xdr:to>
    <xdr:sp macro="" textlink="">
      <xdr:nvSpPr>
        <xdr:cNvPr id="9" name="Line 36"/>
        <xdr:cNvSpPr>
          <a:spLocks noChangeShapeType="1"/>
        </xdr:cNvSpPr>
      </xdr:nvSpPr>
      <xdr:spPr bwMode="auto">
        <a:xfrm>
          <a:off x="1581150" y="1019175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6</xdr:col>
      <xdr:colOff>57150</xdr:colOff>
      <xdr:row>1</xdr:row>
      <xdr:rowOff>95250</xdr:rowOff>
    </xdr:from>
    <xdr:to>
      <xdr:col>6</xdr:col>
      <xdr:colOff>704850</xdr:colOff>
      <xdr:row>1</xdr:row>
      <xdr:rowOff>95250</xdr:rowOff>
    </xdr:to>
    <xdr:sp macro="" textlink="">
      <xdr:nvSpPr>
        <xdr:cNvPr id="10" name="Line 37"/>
        <xdr:cNvSpPr>
          <a:spLocks noChangeShapeType="1"/>
        </xdr:cNvSpPr>
      </xdr:nvSpPr>
      <xdr:spPr bwMode="auto">
        <a:xfrm>
          <a:off x="4629150" y="28575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6</xdr:col>
      <xdr:colOff>57150</xdr:colOff>
      <xdr:row>3</xdr:row>
      <xdr:rowOff>114300</xdr:rowOff>
    </xdr:from>
    <xdr:to>
      <xdr:col>6</xdr:col>
      <xdr:colOff>704850</xdr:colOff>
      <xdr:row>3</xdr:row>
      <xdr:rowOff>114300</xdr:rowOff>
    </xdr:to>
    <xdr:sp macro="" textlink="">
      <xdr:nvSpPr>
        <xdr:cNvPr id="11" name="Line 38"/>
        <xdr:cNvSpPr>
          <a:spLocks noChangeShapeType="1"/>
        </xdr:cNvSpPr>
      </xdr:nvSpPr>
      <xdr:spPr bwMode="auto">
        <a:xfrm>
          <a:off x="4629150" y="68580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57150</xdr:colOff>
      <xdr:row>1</xdr:row>
      <xdr:rowOff>95250</xdr:rowOff>
    </xdr:from>
    <xdr:to>
      <xdr:col>2</xdr:col>
      <xdr:colOff>704850</xdr:colOff>
      <xdr:row>1</xdr:row>
      <xdr:rowOff>95250</xdr:rowOff>
    </xdr:to>
    <xdr:sp macro="" textlink="">
      <xdr:nvSpPr>
        <xdr:cNvPr id="2" name="Line 1"/>
        <xdr:cNvSpPr>
          <a:spLocks noChangeShapeType="1"/>
        </xdr:cNvSpPr>
      </xdr:nvSpPr>
      <xdr:spPr bwMode="auto">
        <a:xfrm>
          <a:off x="1581150" y="28575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2</xdr:col>
      <xdr:colOff>57150</xdr:colOff>
      <xdr:row>3</xdr:row>
      <xdr:rowOff>95250</xdr:rowOff>
    </xdr:from>
    <xdr:to>
      <xdr:col>2</xdr:col>
      <xdr:colOff>704850</xdr:colOff>
      <xdr:row>3</xdr:row>
      <xdr:rowOff>95250</xdr:rowOff>
    </xdr:to>
    <xdr:sp macro="" textlink="">
      <xdr:nvSpPr>
        <xdr:cNvPr id="3" name="Line 2"/>
        <xdr:cNvSpPr>
          <a:spLocks noChangeShapeType="1"/>
        </xdr:cNvSpPr>
      </xdr:nvSpPr>
      <xdr:spPr bwMode="auto">
        <a:xfrm>
          <a:off x="1581150" y="66675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2</xdr:col>
      <xdr:colOff>57150</xdr:colOff>
      <xdr:row>5</xdr:row>
      <xdr:rowOff>66675</xdr:rowOff>
    </xdr:from>
    <xdr:to>
      <xdr:col>2</xdr:col>
      <xdr:colOff>704850</xdr:colOff>
      <xdr:row>5</xdr:row>
      <xdr:rowOff>66675</xdr:rowOff>
    </xdr:to>
    <xdr:sp macro="" textlink="">
      <xdr:nvSpPr>
        <xdr:cNvPr id="4" name="Line 3"/>
        <xdr:cNvSpPr>
          <a:spLocks noChangeShapeType="1"/>
        </xdr:cNvSpPr>
      </xdr:nvSpPr>
      <xdr:spPr bwMode="auto">
        <a:xfrm>
          <a:off x="1581150" y="1019175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6</xdr:col>
      <xdr:colOff>57150</xdr:colOff>
      <xdr:row>1</xdr:row>
      <xdr:rowOff>95250</xdr:rowOff>
    </xdr:from>
    <xdr:to>
      <xdr:col>6</xdr:col>
      <xdr:colOff>704850</xdr:colOff>
      <xdr:row>1</xdr:row>
      <xdr:rowOff>95250</xdr:rowOff>
    </xdr:to>
    <xdr:sp macro="" textlink="">
      <xdr:nvSpPr>
        <xdr:cNvPr id="5" name="Line 4"/>
        <xdr:cNvSpPr>
          <a:spLocks noChangeShapeType="1"/>
        </xdr:cNvSpPr>
      </xdr:nvSpPr>
      <xdr:spPr bwMode="auto">
        <a:xfrm>
          <a:off x="4629150" y="28575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>
    <xdr:from>
      <xdr:col>6</xdr:col>
      <xdr:colOff>57150</xdr:colOff>
      <xdr:row>3</xdr:row>
      <xdr:rowOff>114300</xdr:rowOff>
    </xdr:from>
    <xdr:to>
      <xdr:col>6</xdr:col>
      <xdr:colOff>704850</xdr:colOff>
      <xdr:row>3</xdr:row>
      <xdr:rowOff>114300</xdr:rowOff>
    </xdr:to>
    <xdr:sp macro="" textlink="">
      <xdr:nvSpPr>
        <xdr:cNvPr id="6" name="Line 5"/>
        <xdr:cNvSpPr>
          <a:spLocks noChangeShapeType="1"/>
        </xdr:cNvSpPr>
      </xdr:nvSpPr>
      <xdr:spPr bwMode="auto">
        <a:xfrm>
          <a:off x="4629150" y="685800"/>
          <a:ext cx="647700" cy="0"/>
        </a:xfrm>
        <a:prstGeom prst="line">
          <a:avLst/>
        </a:prstGeom>
        <a:noFill/>
        <a:ln w="12700">
          <a:solidFill>
            <a:srgbClr val="000000"/>
          </a:solidFill>
          <a:prstDash val="sysDot"/>
          <a:round/>
          <a:headEnd/>
          <a:tailEnd type="triangle" w="med" len="med"/>
        </a:ln>
      </xdr:spPr>
    </xdr:sp>
    <xdr:clientData/>
  </xdr:twoCellAnchor>
  <xdr:twoCellAnchor editAs="oneCell">
    <xdr:from>
      <xdr:col>0</xdr:col>
      <xdr:colOff>133350</xdr:colOff>
      <xdr:row>19</xdr:row>
      <xdr:rowOff>123825</xdr:rowOff>
    </xdr:from>
    <xdr:to>
      <xdr:col>10</xdr:col>
      <xdr:colOff>66675</xdr:colOff>
      <xdr:row>26</xdr:row>
      <xdr:rowOff>125836</xdr:rowOff>
    </xdr:to>
    <xdr:pic>
      <xdr:nvPicPr>
        <xdr:cNvPr id="7" name="그림 6" descr="화면 캡처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" y="4105275"/>
          <a:ext cx="6791325" cy="146886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9"/>
  <sheetViews>
    <sheetView tabSelected="1" workbookViewId="0">
      <selection activeCell="F21" sqref="F21"/>
    </sheetView>
  </sheetViews>
  <sheetFormatPr defaultRowHeight="16.5"/>
  <cols>
    <col min="3" max="3" width="10.875" bestFit="1" customWidth="1"/>
    <col min="4" max="4" width="11.625" bestFit="1" customWidth="1"/>
    <col min="8" max="8" width="12.875" customWidth="1"/>
  </cols>
  <sheetData>
    <row r="1" spans="1:9">
      <c r="A1" s="1" t="s">
        <v>2</v>
      </c>
      <c r="B1" s="1" t="s">
        <v>0</v>
      </c>
      <c r="C1" s="1"/>
      <c r="D1" s="1"/>
      <c r="E1" s="1"/>
      <c r="F1" s="2" t="s">
        <v>3</v>
      </c>
      <c r="G1" s="3" t="s">
        <v>1</v>
      </c>
      <c r="H1" s="4"/>
      <c r="I1" s="3"/>
    </row>
    <row r="2" spans="1:9">
      <c r="A2" s="5" t="s">
        <v>4</v>
      </c>
      <c r="B2" s="5" t="s">
        <v>5</v>
      </c>
      <c r="C2" s="5" t="s">
        <v>6</v>
      </c>
      <c r="D2" s="6" t="s">
        <v>7</v>
      </c>
      <c r="E2" s="1"/>
      <c r="F2" s="7" t="s">
        <v>8</v>
      </c>
      <c r="G2" s="7" t="s">
        <v>9</v>
      </c>
      <c r="H2" s="8" t="s">
        <v>10</v>
      </c>
      <c r="I2" s="6" t="s">
        <v>11</v>
      </c>
    </row>
    <row r="3" spans="1:9">
      <c r="A3" s="5" t="s">
        <v>12</v>
      </c>
      <c r="B3" s="5">
        <v>327</v>
      </c>
      <c r="C3" s="9">
        <f>B3*3000</f>
        <v>981000</v>
      </c>
      <c r="D3" s="9"/>
      <c r="E3" s="1"/>
      <c r="F3" s="10" t="s">
        <v>13</v>
      </c>
      <c r="G3" s="11">
        <v>5</v>
      </c>
      <c r="H3" s="12">
        <v>5</v>
      </c>
      <c r="I3" s="13"/>
    </row>
    <row r="4" spans="1:9">
      <c r="A4" s="5" t="s">
        <v>14</v>
      </c>
      <c r="B4" s="5">
        <v>370</v>
      </c>
      <c r="C4" s="9">
        <f>B4*350</f>
        <v>129500</v>
      </c>
      <c r="D4" s="9"/>
      <c r="E4" s="1"/>
      <c r="F4" s="10" t="s">
        <v>15</v>
      </c>
      <c r="G4" s="11">
        <v>20</v>
      </c>
      <c r="H4" s="12">
        <v>25</v>
      </c>
      <c r="I4" s="13"/>
    </row>
    <row r="5" spans="1:9">
      <c r="A5" s="5" t="s">
        <v>16</v>
      </c>
      <c r="B5" s="5">
        <v>450</v>
      </c>
      <c r="C5" s="9">
        <f>B5*6500</f>
        <v>2925000</v>
      </c>
      <c r="D5" s="9"/>
      <c r="E5" s="1"/>
      <c r="F5" s="10" t="s">
        <v>17</v>
      </c>
      <c r="G5" s="11">
        <v>15</v>
      </c>
      <c r="H5" s="12">
        <v>40</v>
      </c>
      <c r="I5" s="13"/>
    </row>
    <row r="6" spans="1:9">
      <c r="A6" s="5" t="s">
        <v>18</v>
      </c>
      <c r="B6" s="5">
        <v>900</v>
      </c>
      <c r="C6" s="9">
        <f>B6*340</f>
        <v>306000</v>
      </c>
      <c r="D6" s="9"/>
      <c r="E6" s="1"/>
      <c r="F6" s="14" t="s">
        <v>19</v>
      </c>
      <c r="G6" s="15">
        <v>7</v>
      </c>
      <c r="H6" s="12">
        <v>47</v>
      </c>
      <c r="I6" s="13"/>
    </row>
    <row r="7" spans="1:9">
      <c r="A7" s="5" t="s">
        <v>20</v>
      </c>
      <c r="B7" s="5">
        <v>789</v>
      </c>
      <c r="C7" s="9">
        <f>B7*220</f>
        <v>173580</v>
      </c>
      <c r="D7" s="9"/>
      <c r="E7" s="1"/>
      <c r="F7" s="14" t="s">
        <v>21</v>
      </c>
      <c r="G7" s="15">
        <v>3</v>
      </c>
      <c r="H7" s="12">
        <v>50</v>
      </c>
      <c r="I7" s="13"/>
    </row>
    <row r="8" spans="1:9">
      <c r="A8" s="5" t="s">
        <v>22</v>
      </c>
      <c r="B8" s="5">
        <v>670</v>
      </c>
      <c r="C8" s="9">
        <f>B8*550</f>
        <v>368500</v>
      </c>
      <c r="D8" s="9"/>
      <c r="E8" s="1"/>
      <c r="F8" s="14" t="s">
        <v>23</v>
      </c>
      <c r="G8" s="16">
        <f>SUM(G3:G7)</f>
        <v>50</v>
      </c>
      <c r="H8" s="17"/>
      <c r="I8" s="17"/>
    </row>
    <row r="9" spans="1:9">
      <c r="A9" s="18"/>
      <c r="B9" s="5" t="s">
        <v>24</v>
      </c>
      <c r="C9" s="19">
        <v>0.25</v>
      </c>
      <c r="D9" s="20"/>
      <c r="E9" s="1"/>
      <c r="F9" s="1"/>
      <c r="G9" s="1"/>
      <c r="H9" s="1"/>
      <c r="I9" s="1"/>
    </row>
  </sheetData>
  <phoneticPr fontId="2" type="noConversion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8"/>
  <sheetViews>
    <sheetView workbookViewId="0"/>
  </sheetViews>
  <sheetFormatPr defaultRowHeight="16.5"/>
  <cols>
    <col min="1" max="2" width="9" style="47"/>
    <col min="3" max="4" width="12.25" style="47" customWidth="1"/>
    <col min="5" max="5" width="9" style="47"/>
    <col min="6" max="7" width="11" style="47" bestFit="1" customWidth="1"/>
    <col min="8" max="8" width="9" style="47"/>
    <col min="9" max="9" width="11" style="47" bestFit="1" customWidth="1"/>
    <col min="10" max="16384" width="9" style="47"/>
  </cols>
  <sheetData>
    <row r="1" spans="1:9">
      <c r="A1" s="47" t="s">
        <v>127</v>
      </c>
      <c r="E1" s="73"/>
      <c r="F1" s="47" t="s">
        <v>128</v>
      </c>
    </row>
    <row r="2" spans="1:9">
      <c r="A2" s="75" t="s">
        <v>129</v>
      </c>
      <c r="B2" s="76" t="s">
        <v>130</v>
      </c>
      <c r="C2" s="77" t="s">
        <v>131</v>
      </c>
      <c r="D2" s="77" t="s">
        <v>132</v>
      </c>
      <c r="E2" s="73"/>
      <c r="F2" s="40" t="s">
        <v>133</v>
      </c>
      <c r="G2" s="40" t="s">
        <v>134</v>
      </c>
      <c r="H2" s="40" t="s">
        <v>135</v>
      </c>
      <c r="I2" s="40" t="s">
        <v>136</v>
      </c>
    </row>
    <row r="3" spans="1:9">
      <c r="A3" s="77" t="s">
        <v>137</v>
      </c>
      <c r="B3" s="77" t="s">
        <v>284</v>
      </c>
      <c r="C3" s="78">
        <v>79</v>
      </c>
      <c r="D3" s="78">
        <v>97</v>
      </c>
      <c r="E3" s="73"/>
      <c r="F3" s="40" t="s">
        <v>138</v>
      </c>
      <c r="G3" s="46">
        <v>1673</v>
      </c>
      <c r="H3" s="40">
        <v>40</v>
      </c>
      <c r="I3" s="79">
        <f t="shared" ref="I3:I10" si="0">G3*H3</f>
        <v>66920</v>
      </c>
    </row>
    <row r="4" spans="1:9">
      <c r="A4" s="77" t="s">
        <v>139</v>
      </c>
      <c r="B4" s="77" t="s">
        <v>219</v>
      </c>
      <c r="C4" s="78">
        <v>77</v>
      </c>
      <c r="D4" s="78">
        <v>89</v>
      </c>
      <c r="E4" s="73"/>
      <c r="F4" s="40" t="s">
        <v>140</v>
      </c>
      <c r="G4" s="46">
        <v>1506</v>
      </c>
      <c r="H4" s="40">
        <v>58</v>
      </c>
      <c r="I4" s="79">
        <f t="shared" si="0"/>
        <v>87348</v>
      </c>
    </row>
    <row r="5" spans="1:9">
      <c r="A5" s="77" t="s">
        <v>141</v>
      </c>
      <c r="B5" s="77" t="s">
        <v>284</v>
      </c>
      <c r="C5" s="78">
        <v>56</v>
      </c>
      <c r="D5" s="78">
        <v>76</v>
      </c>
      <c r="E5" s="73"/>
      <c r="F5" s="40" t="s">
        <v>142</v>
      </c>
      <c r="G5" s="46">
        <v>1126</v>
      </c>
      <c r="H5" s="40">
        <v>91</v>
      </c>
      <c r="I5" s="79">
        <f t="shared" si="0"/>
        <v>102466</v>
      </c>
    </row>
    <row r="6" spans="1:9">
      <c r="A6" s="77" t="s">
        <v>143</v>
      </c>
      <c r="B6" s="77" t="s">
        <v>219</v>
      </c>
      <c r="C6" s="78">
        <v>88</v>
      </c>
      <c r="D6" s="78">
        <v>80</v>
      </c>
      <c r="E6" s="73"/>
      <c r="F6" s="40" t="s">
        <v>144</v>
      </c>
      <c r="G6" s="46">
        <v>2953</v>
      </c>
      <c r="H6" s="40">
        <v>99</v>
      </c>
      <c r="I6" s="79">
        <f t="shared" si="0"/>
        <v>292347</v>
      </c>
    </row>
    <row r="7" spans="1:9">
      <c r="A7" s="77" t="s">
        <v>145</v>
      </c>
      <c r="B7" s="77" t="s">
        <v>284</v>
      </c>
      <c r="C7" s="78">
        <v>88</v>
      </c>
      <c r="D7" s="78">
        <v>93</v>
      </c>
      <c r="E7" s="73"/>
      <c r="F7" s="40" t="s">
        <v>138</v>
      </c>
      <c r="G7" s="46">
        <v>1423</v>
      </c>
      <c r="H7" s="40">
        <v>54</v>
      </c>
      <c r="I7" s="79">
        <f t="shared" si="0"/>
        <v>76842</v>
      </c>
    </row>
    <row r="8" spans="1:9">
      <c r="A8" s="77" t="s">
        <v>146</v>
      </c>
      <c r="B8" s="77" t="s">
        <v>219</v>
      </c>
      <c r="C8" s="78">
        <v>91</v>
      </c>
      <c r="D8" s="78">
        <v>67</v>
      </c>
      <c r="E8" s="73"/>
      <c r="F8" s="40" t="s">
        <v>142</v>
      </c>
      <c r="G8" s="46">
        <v>1338</v>
      </c>
      <c r="H8" s="40">
        <v>40</v>
      </c>
      <c r="I8" s="79">
        <f t="shared" si="0"/>
        <v>53520</v>
      </c>
    </row>
    <row r="9" spans="1:9">
      <c r="A9" s="77" t="s">
        <v>147</v>
      </c>
      <c r="B9" s="77" t="s">
        <v>284</v>
      </c>
      <c r="C9" s="78">
        <v>85</v>
      </c>
      <c r="D9" s="78">
        <v>56</v>
      </c>
      <c r="E9" s="73"/>
      <c r="F9" s="40" t="s">
        <v>138</v>
      </c>
      <c r="G9" s="46">
        <v>2310</v>
      </c>
      <c r="H9" s="40">
        <v>73</v>
      </c>
      <c r="I9" s="79">
        <f t="shared" si="0"/>
        <v>168630</v>
      </c>
    </row>
    <row r="10" spans="1:9">
      <c r="A10" s="77" t="s">
        <v>148</v>
      </c>
      <c r="B10" s="77" t="s">
        <v>284</v>
      </c>
      <c r="C10" s="78">
        <v>76</v>
      </c>
      <c r="D10" s="78">
        <v>89</v>
      </c>
      <c r="E10" s="73"/>
      <c r="F10" s="40" t="s">
        <v>149</v>
      </c>
      <c r="G10" s="46">
        <v>1937</v>
      </c>
      <c r="H10" s="40">
        <v>90</v>
      </c>
      <c r="I10" s="79">
        <f t="shared" si="0"/>
        <v>174330</v>
      </c>
    </row>
    <row r="11" spans="1:9">
      <c r="B11" s="80"/>
      <c r="E11" s="73"/>
    </row>
    <row r="12" spans="1:9">
      <c r="A12" s="175" t="s">
        <v>150</v>
      </c>
      <c r="B12" s="175"/>
      <c r="C12" s="175"/>
      <c r="D12" s="40">
        <f>DAVERAGE(A2:D10,3,B2:B3)</f>
        <v>76.8</v>
      </c>
      <c r="E12" s="73"/>
      <c r="F12" s="175" t="s">
        <v>151</v>
      </c>
      <c r="G12" s="175"/>
      <c r="H12" s="175"/>
      <c r="I12" s="83">
        <f>DSUM(F2:I10,4,F2:F3)</f>
        <v>312392</v>
      </c>
    </row>
    <row r="13" spans="1:9">
      <c r="A13" s="73"/>
      <c r="B13" s="73"/>
      <c r="C13" s="73"/>
      <c r="D13" s="73"/>
      <c r="E13" s="73"/>
      <c r="F13" s="73"/>
      <c r="G13" s="73"/>
      <c r="H13" s="73"/>
      <c r="I13" s="73"/>
    </row>
    <row r="14" spans="1:9">
      <c r="A14" s="47" t="s">
        <v>152</v>
      </c>
      <c r="F14" s="47" t="s">
        <v>153</v>
      </c>
      <c r="G14" s="81"/>
    </row>
    <row r="15" spans="1:9">
      <c r="A15" s="41" t="s">
        <v>129</v>
      </c>
      <c r="B15" s="41" t="s">
        <v>154</v>
      </c>
      <c r="C15" s="41" t="s">
        <v>155</v>
      </c>
      <c r="D15" s="41" t="s">
        <v>156</v>
      </c>
      <c r="F15" s="40" t="s">
        <v>157</v>
      </c>
      <c r="G15" s="40" t="s">
        <v>158</v>
      </c>
      <c r="H15" s="40" t="s">
        <v>159</v>
      </c>
      <c r="I15" s="62" t="s">
        <v>160</v>
      </c>
    </row>
    <row r="16" spans="1:9">
      <c r="A16" s="24" t="s">
        <v>161</v>
      </c>
      <c r="B16" s="24" t="s">
        <v>162</v>
      </c>
      <c r="C16" s="24">
        <v>557</v>
      </c>
      <c r="D16" s="24">
        <v>345</v>
      </c>
      <c r="F16" s="40" t="s">
        <v>163</v>
      </c>
      <c r="G16" s="40" t="s">
        <v>164</v>
      </c>
      <c r="H16" s="40">
        <v>14</v>
      </c>
      <c r="I16" s="40">
        <v>20</v>
      </c>
    </row>
    <row r="17" spans="1:9">
      <c r="A17" s="24" t="s">
        <v>165</v>
      </c>
      <c r="B17" s="24" t="s">
        <v>166</v>
      </c>
      <c r="C17" s="24">
        <v>476</v>
      </c>
      <c r="D17" s="24">
        <v>513</v>
      </c>
      <c r="F17" s="40" t="s">
        <v>167</v>
      </c>
      <c r="G17" s="40" t="s">
        <v>168</v>
      </c>
      <c r="H17" s="40">
        <v>2</v>
      </c>
      <c r="I17" s="40">
        <v>13</v>
      </c>
    </row>
    <row r="18" spans="1:9">
      <c r="A18" s="24" t="s">
        <v>169</v>
      </c>
      <c r="B18" s="24" t="s">
        <v>162</v>
      </c>
      <c r="C18" s="24">
        <v>231</v>
      </c>
      <c r="D18" s="24">
        <v>474</v>
      </c>
      <c r="F18" s="40" t="s">
        <v>167</v>
      </c>
      <c r="G18" s="40" t="s">
        <v>170</v>
      </c>
      <c r="H18" s="40">
        <v>3</v>
      </c>
      <c r="I18" s="40">
        <v>3</v>
      </c>
    </row>
    <row r="19" spans="1:9">
      <c r="A19" s="24" t="s">
        <v>171</v>
      </c>
      <c r="B19" s="24" t="s">
        <v>166</v>
      </c>
      <c r="C19" s="24">
        <v>175</v>
      </c>
      <c r="D19" s="24">
        <v>453</v>
      </c>
      <c r="F19" s="40" t="s">
        <v>172</v>
      </c>
      <c r="G19" s="40" t="s">
        <v>173</v>
      </c>
      <c r="H19" s="40">
        <v>8</v>
      </c>
      <c r="I19" s="40">
        <v>5</v>
      </c>
    </row>
    <row r="20" spans="1:9">
      <c r="A20" s="24" t="s">
        <v>174</v>
      </c>
      <c r="B20" s="24" t="s">
        <v>166</v>
      </c>
      <c r="C20" s="24">
        <v>834</v>
      </c>
      <c r="D20" s="24">
        <v>401</v>
      </c>
      <c r="F20" s="40" t="s">
        <v>163</v>
      </c>
      <c r="G20" s="40" t="s">
        <v>175</v>
      </c>
      <c r="H20" s="40">
        <v>5</v>
      </c>
      <c r="I20" s="40">
        <v>3</v>
      </c>
    </row>
    <row r="21" spans="1:9">
      <c r="A21" s="24" t="s">
        <v>176</v>
      </c>
      <c r="B21" s="24" t="s">
        <v>162</v>
      </c>
      <c r="C21" s="24">
        <v>597</v>
      </c>
      <c r="D21" s="24">
        <v>347</v>
      </c>
      <c r="F21" s="40" t="s">
        <v>167</v>
      </c>
      <c r="G21" s="40" t="s">
        <v>177</v>
      </c>
      <c r="H21" s="40">
        <v>15</v>
      </c>
      <c r="I21" s="40">
        <v>5</v>
      </c>
    </row>
    <row r="22" spans="1:9">
      <c r="A22" s="73"/>
      <c r="B22" s="73"/>
      <c r="C22" s="73"/>
      <c r="D22" s="73"/>
      <c r="E22" s="73"/>
    </row>
    <row r="23" spans="1:9">
      <c r="A23" s="63" t="s">
        <v>154</v>
      </c>
      <c r="B23" s="64" t="s">
        <v>155</v>
      </c>
      <c r="C23" s="64" t="s">
        <v>156</v>
      </c>
      <c r="E23" s="65"/>
      <c r="F23" s="175" t="s">
        <v>178</v>
      </c>
      <c r="G23" s="175"/>
      <c r="H23" s="66" t="s">
        <v>157</v>
      </c>
      <c r="I23" s="67" t="s">
        <v>160</v>
      </c>
    </row>
    <row r="24" spans="1:9">
      <c r="A24" s="66" t="s">
        <v>166</v>
      </c>
      <c r="B24" s="68">
        <f>DMAX($A$15:$D$21,C15,$A$23:$A$24)</f>
        <v>834</v>
      </c>
      <c r="C24" s="68">
        <f>DMAX($A$15:$D$21,D15,$A$23:$A$24)</f>
        <v>513</v>
      </c>
      <c r="E24" s="65"/>
      <c r="F24" s="178">
        <f>DCOUNT(F15:I21,3,H23:I24)</f>
        <v>2</v>
      </c>
      <c r="G24" s="178"/>
      <c r="H24" s="66" t="s">
        <v>167</v>
      </c>
      <c r="I24" s="66" t="s">
        <v>280</v>
      </c>
    </row>
    <row r="25" spans="1:9">
      <c r="A25" s="73"/>
      <c r="B25" s="73"/>
      <c r="C25" s="73"/>
      <c r="D25" s="73"/>
      <c r="E25" s="73"/>
      <c r="F25" s="73"/>
    </row>
    <row r="26" spans="1:9">
      <c r="A26" s="47" t="s">
        <v>179</v>
      </c>
      <c r="E26" s="73"/>
      <c r="F26" s="47" t="s">
        <v>180</v>
      </c>
    </row>
    <row r="27" spans="1:9">
      <c r="A27" s="40" t="s">
        <v>181</v>
      </c>
      <c r="B27" s="40" t="s">
        <v>182</v>
      </c>
      <c r="C27" s="40" t="s">
        <v>129</v>
      </c>
      <c r="D27" s="40" t="s">
        <v>183</v>
      </c>
      <c r="E27" s="73"/>
      <c r="F27" s="40" t="s">
        <v>184</v>
      </c>
      <c r="G27" s="40" t="s">
        <v>185</v>
      </c>
      <c r="H27" s="40" t="s">
        <v>186</v>
      </c>
      <c r="I27" s="40" t="s">
        <v>187</v>
      </c>
    </row>
    <row r="28" spans="1:9">
      <c r="A28" s="7" t="s">
        <v>188</v>
      </c>
      <c r="B28" s="23">
        <v>1</v>
      </c>
      <c r="C28" s="23" t="s">
        <v>189</v>
      </c>
      <c r="D28" s="23">
        <v>465</v>
      </c>
      <c r="E28" s="73"/>
      <c r="F28" s="40" t="s">
        <v>190</v>
      </c>
      <c r="G28" s="71">
        <v>92733</v>
      </c>
      <c r="H28" s="71">
        <v>46573</v>
      </c>
      <c r="I28" s="71">
        <f t="shared" ref="I28:I34" si="1">G28+H28</f>
        <v>139306</v>
      </c>
    </row>
    <row r="29" spans="1:9">
      <c r="A29" s="7" t="s">
        <v>191</v>
      </c>
      <c r="B29" s="23">
        <v>2</v>
      </c>
      <c r="C29" s="23" t="s">
        <v>192</v>
      </c>
      <c r="D29" s="23">
        <v>604</v>
      </c>
      <c r="E29" s="73"/>
      <c r="F29" s="40" t="s">
        <v>193</v>
      </c>
      <c r="G29" s="71">
        <v>66191</v>
      </c>
      <c r="H29" s="71">
        <v>60400</v>
      </c>
      <c r="I29" s="71">
        <f t="shared" si="1"/>
        <v>126591</v>
      </c>
    </row>
    <row r="30" spans="1:9">
      <c r="A30" s="7" t="s">
        <v>191</v>
      </c>
      <c r="B30" s="23">
        <v>3</v>
      </c>
      <c r="C30" s="23" t="s">
        <v>194</v>
      </c>
      <c r="D30" s="23">
        <v>383</v>
      </c>
      <c r="E30" s="73"/>
      <c r="F30" s="40" t="s">
        <v>195</v>
      </c>
      <c r="G30" s="71">
        <v>14809</v>
      </c>
      <c r="H30" s="71">
        <v>13827</v>
      </c>
      <c r="I30" s="71">
        <f t="shared" si="1"/>
        <v>28636</v>
      </c>
    </row>
    <row r="31" spans="1:9">
      <c r="A31" s="7" t="s">
        <v>188</v>
      </c>
      <c r="B31" s="23">
        <v>2</v>
      </c>
      <c r="C31" s="23" t="s">
        <v>196</v>
      </c>
      <c r="D31" s="23">
        <v>465</v>
      </c>
      <c r="E31" s="73"/>
      <c r="F31" s="40" t="s">
        <v>197</v>
      </c>
      <c r="G31" s="71">
        <v>51382</v>
      </c>
      <c r="H31" s="71">
        <v>46573</v>
      </c>
      <c r="I31" s="71">
        <f t="shared" si="1"/>
        <v>97955</v>
      </c>
    </row>
    <row r="32" spans="1:9">
      <c r="A32" s="7" t="s">
        <v>191</v>
      </c>
      <c r="B32" s="23">
        <v>1</v>
      </c>
      <c r="C32" s="23" t="s">
        <v>198</v>
      </c>
      <c r="D32" s="23">
        <v>382</v>
      </c>
      <c r="E32" s="73"/>
      <c r="F32" s="40" t="s">
        <v>199</v>
      </c>
      <c r="G32" s="71">
        <v>19663</v>
      </c>
      <c r="H32" s="71">
        <v>17382</v>
      </c>
      <c r="I32" s="71">
        <f t="shared" si="1"/>
        <v>37045</v>
      </c>
    </row>
    <row r="33" spans="1:9">
      <c r="A33" s="7" t="s">
        <v>191</v>
      </c>
      <c r="B33" s="23">
        <v>2</v>
      </c>
      <c r="C33" s="23" t="s">
        <v>200</v>
      </c>
      <c r="D33" s="23">
        <v>391</v>
      </c>
      <c r="E33" s="73"/>
      <c r="F33" s="40" t="s">
        <v>201</v>
      </c>
      <c r="G33" s="71">
        <v>22053</v>
      </c>
      <c r="H33" s="71">
        <v>49102</v>
      </c>
      <c r="I33" s="71">
        <f t="shared" si="1"/>
        <v>71155</v>
      </c>
    </row>
    <row r="34" spans="1:9">
      <c r="A34" s="7" t="s">
        <v>188</v>
      </c>
      <c r="B34" s="23">
        <v>3</v>
      </c>
      <c r="C34" s="23" t="s">
        <v>202</v>
      </c>
      <c r="D34" s="23">
        <v>572</v>
      </c>
      <c r="E34" s="73"/>
      <c r="F34" s="40" t="s">
        <v>203</v>
      </c>
      <c r="G34" s="71">
        <v>23900</v>
      </c>
      <c r="H34" s="71">
        <v>17206</v>
      </c>
      <c r="I34" s="71">
        <f t="shared" si="1"/>
        <v>41106</v>
      </c>
    </row>
    <row r="35" spans="1:9">
      <c r="E35" s="73"/>
    </row>
    <row r="36" spans="1:9">
      <c r="A36" s="66" t="s">
        <v>183</v>
      </c>
      <c r="B36" s="66" t="s">
        <v>182</v>
      </c>
      <c r="C36" s="175" t="s">
        <v>745</v>
      </c>
      <c r="D36" s="175"/>
      <c r="E36" s="73"/>
      <c r="F36" s="66" t="s">
        <v>187</v>
      </c>
      <c r="G36" s="66" t="s">
        <v>187</v>
      </c>
      <c r="H36" s="175" t="s">
        <v>204</v>
      </c>
      <c r="I36" s="175"/>
    </row>
    <row r="37" spans="1:9">
      <c r="A37" s="66" t="s">
        <v>281</v>
      </c>
      <c r="B37" s="82"/>
      <c r="C37" s="174" t="str">
        <f>DCOUNTA(A27:D34,3,A36:B38)&amp;"명"</f>
        <v>5명</v>
      </c>
      <c r="D37" s="174"/>
      <c r="E37" s="73"/>
      <c r="F37" s="66" t="s">
        <v>282</v>
      </c>
      <c r="G37" s="66" t="s">
        <v>283</v>
      </c>
      <c r="H37" s="174">
        <f>DSUM(F27:I34,4,F36:G37)</f>
        <v>169110</v>
      </c>
      <c r="I37" s="174"/>
    </row>
    <row r="38" spans="1:9">
      <c r="A38" s="82"/>
      <c r="B38" s="66">
        <v>2</v>
      </c>
      <c r="C38" s="73"/>
      <c r="D38" s="73"/>
    </row>
  </sheetData>
  <mergeCells count="8">
    <mergeCell ref="C37:D37"/>
    <mergeCell ref="H37:I37"/>
    <mergeCell ref="A12:C12"/>
    <mergeCell ref="F12:H12"/>
    <mergeCell ref="F23:G23"/>
    <mergeCell ref="F24:G24"/>
    <mergeCell ref="C36:D36"/>
    <mergeCell ref="H36:I36"/>
  </mergeCells>
  <phoneticPr fontId="2" type="noConversion"/>
  <pageMargins left="0.7" right="0.7" top="0.75" bottom="0.75" header="0.3" footer="0.3"/>
  <pageSetup paperSize="9" orientation="portrait" horizontalDpi="4294967293" verticalDpi="4294967293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3"/>
  <sheetViews>
    <sheetView topLeftCell="A10" workbookViewId="0">
      <selection activeCell="I20" sqref="I20"/>
    </sheetView>
  </sheetViews>
  <sheetFormatPr defaultRowHeight="16.5"/>
  <cols>
    <col min="1" max="2" width="9" style="35"/>
    <col min="3" max="3" width="15.875" style="35" bestFit="1" customWidth="1"/>
    <col min="4" max="4" width="14.625" style="35" customWidth="1"/>
    <col min="5" max="6" width="10.625" style="35" customWidth="1"/>
    <col min="7" max="16384" width="9" style="35"/>
  </cols>
  <sheetData>
    <row r="2" spans="2:6">
      <c r="B2" s="87" t="s">
        <v>207</v>
      </c>
      <c r="C2" s="88" t="s">
        <v>285</v>
      </c>
      <c r="D2" s="88" t="s">
        <v>286</v>
      </c>
      <c r="E2" s="88" t="s">
        <v>287</v>
      </c>
      <c r="F2" s="88" t="s">
        <v>288</v>
      </c>
    </row>
    <row r="3" spans="2:6">
      <c r="B3" s="24" t="s">
        <v>289</v>
      </c>
      <c r="C3" s="24" t="s">
        <v>290</v>
      </c>
      <c r="D3" s="86">
        <f>DATE(LEFT(C3,2),MID(C3,3,2),MID(C3,5,2))</f>
        <v>23791</v>
      </c>
      <c r="E3" s="22"/>
      <c r="F3" s="22"/>
    </row>
    <row r="4" spans="2:6">
      <c r="B4" s="24" t="s">
        <v>291</v>
      </c>
      <c r="C4" s="24" t="s">
        <v>292</v>
      </c>
      <c r="D4" s="86"/>
      <c r="E4" s="22"/>
      <c r="F4" s="22"/>
    </row>
    <row r="5" spans="2:6">
      <c r="B5" s="24" t="s">
        <v>293</v>
      </c>
      <c r="C5" s="24" t="s">
        <v>294</v>
      </c>
      <c r="D5" s="86"/>
      <c r="E5" s="22"/>
      <c r="F5" s="22"/>
    </row>
    <row r="6" spans="2:6">
      <c r="B6" s="24" t="s">
        <v>295</v>
      </c>
      <c r="C6" s="24" t="s">
        <v>296</v>
      </c>
      <c r="D6" s="86"/>
      <c r="E6" s="22"/>
      <c r="F6" s="22"/>
    </row>
    <row r="7" spans="2:6">
      <c r="B7" s="24" t="s">
        <v>297</v>
      </c>
      <c r="C7" s="24" t="s">
        <v>298</v>
      </c>
      <c r="D7" s="86"/>
      <c r="E7" s="22"/>
      <c r="F7" s="22"/>
    </row>
    <row r="8" spans="2:6">
      <c r="B8" s="24" t="s">
        <v>299</v>
      </c>
      <c r="C8" s="24" t="s">
        <v>300</v>
      </c>
      <c r="D8" s="86"/>
      <c r="E8" s="22"/>
      <c r="F8" s="22"/>
    </row>
    <row r="9" spans="2:6">
      <c r="B9" s="24" t="s">
        <v>301</v>
      </c>
      <c r="C9" s="24" t="s">
        <v>302</v>
      </c>
      <c r="D9" s="86"/>
      <c r="E9" s="22"/>
      <c r="F9" s="22"/>
    </row>
    <row r="10" spans="2:6">
      <c r="B10" s="24" t="s">
        <v>303</v>
      </c>
      <c r="C10" s="24" t="s">
        <v>304</v>
      </c>
      <c r="D10" s="86"/>
      <c r="E10" s="22"/>
      <c r="F10" s="22"/>
    </row>
    <row r="11" spans="2:6">
      <c r="B11" s="24" t="s">
        <v>305</v>
      </c>
      <c r="C11" s="24" t="s">
        <v>306</v>
      </c>
      <c r="D11" s="86"/>
      <c r="E11" s="22"/>
      <c r="F11" s="22"/>
    </row>
    <row r="12" spans="2:6">
      <c r="B12" s="24" t="s">
        <v>307</v>
      </c>
      <c r="C12" s="24" t="s">
        <v>308</v>
      </c>
      <c r="D12" s="86"/>
      <c r="E12" s="22"/>
      <c r="F12" s="22"/>
    </row>
    <row r="13" spans="2:6">
      <c r="B13" s="24" t="s">
        <v>309</v>
      </c>
      <c r="C13" s="24" t="s">
        <v>310</v>
      </c>
      <c r="D13" s="86"/>
      <c r="E13" s="22"/>
      <c r="F13" s="22"/>
    </row>
  </sheetData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3"/>
  <sheetViews>
    <sheetView workbookViewId="0"/>
  </sheetViews>
  <sheetFormatPr defaultRowHeight="16.5"/>
  <cols>
    <col min="1" max="2" width="9" style="35"/>
    <col min="3" max="3" width="15.875" style="35" bestFit="1" customWidth="1"/>
    <col min="4" max="4" width="14.625" style="35" customWidth="1"/>
    <col min="5" max="6" width="10.625" style="35" customWidth="1"/>
    <col min="7" max="16384" width="9" style="35"/>
  </cols>
  <sheetData>
    <row r="2" spans="2:6">
      <c r="B2" s="87" t="s">
        <v>207</v>
      </c>
      <c r="C2" s="88" t="s">
        <v>285</v>
      </c>
      <c r="D2" s="88" t="s">
        <v>286</v>
      </c>
      <c r="E2" s="88" t="s">
        <v>287</v>
      </c>
      <c r="F2" s="88" t="s">
        <v>288</v>
      </c>
    </row>
    <row r="3" spans="2:6">
      <c r="B3" s="24" t="s">
        <v>289</v>
      </c>
      <c r="C3" s="24" t="s">
        <v>290</v>
      </c>
      <c r="D3" s="86">
        <f>DATE(LEFT(C3,2),MID(C3,3,2),MID(C3,5,2))</f>
        <v>23791</v>
      </c>
      <c r="E3" s="85" t="str">
        <f t="shared" ref="E3" si="0">IF(MID(C3,8,1)="1", "남자", "여자")</f>
        <v>남자</v>
      </c>
      <c r="F3" s="85">
        <f t="shared" ref="F3" ca="1" si="1">YEAR(TODAY())-LEFT(C3,2)-1900</f>
        <v>54</v>
      </c>
    </row>
    <row r="4" spans="2:6">
      <c r="B4" s="24" t="s">
        <v>291</v>
      </c>
      <c r="C4" s="24" t="s">
        <v>292</v>
      </c>
      <c r="D4" s="86">
        <f t="shared" ref="D4:D13" si="2">DATE(LEFT(C4,2),MID(C4,3,2),MID(C4,5,2))</f>
        <v>22254</v>
      </c>
      <c r="E4" s="85" t="str">
        <f t="shared" ref="E4:E13" si="3">IF(MID(C4,8,1)="1", "남자", "여자")</f>
        <v>남자</v>
      </c>
      <c r="F4" s="85">
        <f t="shared" ref="F4:F13" ca="1" si="4">YEAR(TODAY())-LEFT(C4,2)-1900</f>
        <v>59</v>
      </c>
    </row>
    <row r="5" spans="2:6">
      <c r="B5" s="24" t="s">
        <v>293</v>
      </c>
      <c r="C5" s="24" t="s">
        <v>294</v>
      </c>
      <c r="D5" s="86">
        <f t="shared" si="2"/>
        <v>22845</v>
      </c>
      <c r="E5" s="85" t="str">
        <f t="shared" si="3"/>
        <v>남자</v>
      </c>
      <c r="F5" s="85">
        <f t="shared" ca="1" si="4"/>
        <v>57</v>
      </c>
    </row>
    <row r="6" spans="2:6">
      <c r="B6" s="24" t="s">
        <v>295</v>
      </c>
      <c r="C6" s="24" t="s">
        <v>296</v>
      </c>
      <c r="D6" s="86">
        <f t="shared" si="2"/>
        <v>26322</v>
      </c>
      <c r="E6" s="85" t="str">
        <f t="shared" si="3"/>
        <v>여자</v>
      </c>
      <c r="F6" s="85">
        <f t="shared" ca="1" si="4"/>
        <v>47</v>
      </c>
    </row>
    <row r="7" spans="2:6">
      <c r="B7" s="24" t="s">
        <v>297</v>
      </c>
      <c r="C7" s="24" t="s">
        <v>298</v>
      </c>
      <c r="D7" s="86">
        <f t="shared" si="2"/>
        <v>26796</v>
      </c>
      <c r="E7" s="85" t="str">
        <f t="shared" si="3"/>
        <v>남자</v>
      </c>
      <c r="F7" s="85">
        <f t="shared" ca="1" si="4"/>
        <v>46</v>
      </c>
    </row>
    <row r="8" spans="2:6">
      <c r="B8" s="24" t="s">
        <v>299</v>
      </c>
      <c r="C8" s="24" t="s">
        <v>300</v>
      </c>
      <c r="D8" s="86">
        <f t="shared" si="2"/>
        <v>27833</v>
      </c>
      <c r="E8" s="85" t="str">
        <f t="shared" si="3"/>
        <v>남자</v>
      </c>
      <c r="F8" s="85">
        <f t="shared" ca="1" si="4"/>
        <v>43</v>
      </c>
    </row>
    <row r="9" spans="2:6">
      <c r="B9" s="24" t="s">
        <v>301</v>
      </c>
      <c r="C9" s="24" t="s">
        <v>302</v>
      </c>
      <c r="D9" s="86">
        <f t="shared" si="2"/>
        <v>24155</v>
      </c>
      <c r="E9" s="85" t="str">
        <f t="shared" si="3"/>
        <v>여자</v>
      </c>
      <c r="F9" s="85">
        <f t="shared" ca="1" si="4"/>
        <v>53</v>
      </c>
    </row>
    <row r="10" spans="2:6">
      <c r="B10" s="24" t="s">
        <v>303</v>
      </c>
      <c r="C10" s="24" t="s">
        <v>304</v>
      </c>
      <c r="D10" s="86">
        <f t="shared" si="2"/>
        <v>26076</v>
      </c>
      <c r="E10" s="85" t="str">
        <f t="shared" si="3"/>
        <v>여자</v>
      </c>
      <c r="F10" s="85">
        <f t="shared" ca="1" si="4"/>
        <v>48</v>
      </c>
    </row>
    <row r="11" spans="2:6">
      <c r="B11" s="24" t="s">
        <v>305</v>
      </c>
      <c r="C11" s="24" t="s">
        <v>306</v>
      </c>
      <c r="D11" s="86">
        <f t="shared" si="2"/>
        <v>23608</v>
      </c>
      <c r="E11" s="85" t="str">
        <f t="shared" si="3"/>
        <v>남자</v>
      </c>
      <c r="F11" s="85">
        <f t="shared" ca="1" si="4"/>
        <v>55</v>
      </c>
    </row>
    <row r="12" spans="2:6">
      <c r="B12" s="24" t="s">
        <v>307</v>
      </c>
      <c r="C12" s="24" t="s">
        <v>308</v>
      </c>
      <c r="D12" s="86">
        <f t="shared" si="2"/>
        <v>22307</v>
      </c>
      <c r="E12" s="85" t="str">
        <f t="shared" si="3"/>
        <v>여자</v>
      </c>
      <c r="F12" s="85">
        <f t="shared" ca="1" si="4"/>
        <v>58</v>
      </c>
    </row>
    <row r="13" spans="2:6">
      <c r="B13" s="24" t="s">
        <v>309</v>
      </c>
      <c r="C13" s="24" t="s">
        <v>310</v>
      </c>
      <c r="D13" s="86">
        <f t="shared" si="2"/>
        <v>27210</v>
      </c>
      <c r="E13" s="85" t="str">
        <f t="shared" si="3"/>
        <v>남자</v>
      </c>
      <c r="F13" s="85">
        <f t="shared" ca="1" si="4"/>
        <v>45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7"/>
  <sheetViews>
    <sheetView workbookViewId="0"/>
  </sheetViews>
  <sheetFormatPr defaultRowHeight="16.5"/>
  <cols>
    <col min="1" max="1" width="9" style="1"/>
    <col min="2" max="2" width="11.5" style="1" customWidth="1"/>
    <col min="3" max="6" width="10.75" style="1" customWidth="1"/>
    <col min="7" max="16384" width="9" style="1"/>
  </cols>
  <sheetData>
    <row r="2" spans="2:6">
      <c r="B2" s="88" t="s">
        <v>311</v>
      </c>
      <c r="C2" s="88" t="s">
        <v>312</v>
      </c>
      <c r="D2" s="88" t="s">
        <v>313</v>
      </c>
      <c r="E2" s="88" t="s">
        <v>314</v>
      </c>
      <c r="F2" s="88" t="s">
        <v>315</v>
      </c>
    </row>
    <row r="3" spans="2:6">
      <c r="B3" s="24" t="s">
        <v>316</v>
      </c>
      <c r="C3" s="22"/>
      <c r="D3" s="22"/>
      <c r="E3" s="22"/>
      <c r="F3" s="89"/>
    </row>
    <row r="4" spans="2:6">
      <c r="B4" s="24" t="s">
        <v>317</v>
      </c>
      <c r="C4" s="22"/>
      <c r="D4" s="22"/>
      <c r="E4" s="22"/>
      <c r="F4" s="89"/>
    </row>
    <row r="5" spans="2:6">
      <c r="B5" s="24" t="s">
        <v>318</v>
      </c>
      <c r="C5" s="22"/>
      <c r="D5" s="22"/>
      <c r="E5" s="22"/>
      <c r="F5" s="89"/>
    </row>
    <row r="6" spans="2:6">
      <c r="B6" s="24" t="s">
        <v>319</v>
      </c>
      <c r="C6" s="22"/>
      <c r="D6" s="22"/>
      <c r="E6" s="22"/>
      <c r="F6" s="89"/>
    </row>
    <row r="7" spans="2:6">
      <c r="B7" s="24" t="s">
        <v>320</v>
      </c>
      <c r="C7" s="22"/>
      <c r="D7" s="22"/>
      <c r="E7" s="22"/>
      <c r="F7" s="89"/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7"/>
  <sheetViews>
    <sheetView workbookViewId="0"/>
  </sheetViews>
  <sheetFormatPr defaultRowHeight="16.5"/>
  <cols>
    <col min="1" max="1" width="9" style="1"/>
    <col min="2" max="2" width="11.5" style="1" customWidth="1"/>
    <col min="3" max="6" width="10.75" style="1" customWidth="1"/>
    <col min="7" max="16384" width="9" style="1"/>
  </cols>
  <sheetData>
    <row r="2" spans="2:6">
      <c r="B2" s="88" t="s">
        <v>311</v>
      </c>
      <c r="C2" s="88" t="s">
        <v>312</v>
      </c>
      <c r="D2" s="88" t="s">
        <v>313</v>
      </c>
      <c r="E2" s="88" t="s">
        <v>314</v>
      </c>
      <c r="F2" s="88" t="s">
        <v>315</v>
      </c>
    </row>
    <row r="3" spans="2:6">
      <c r="B3" s="24" t="s">
        <v>316</v>
      </c>
      <c r="C3" s="90" t="str">
        <f>LOWER(B3)</f>
        <v>aaaa    a</v>
      </c>
      <c r="D3" s="90" t="str">
        <f>UPPER(B3)</f>
        <v>AAAA    A</v>
      </c>
      <c r="E3" s="90" t="str">
        <f>PROPER(B3)</f>
        <v>Aaaa    A</v>
      </c>
      <c r="F3" s="91" t="str">
        <f>TRIM(B3)</f>
        <v>AaAa a</v>
      </c>
    </row>
    <row r="4" spans="2:6">
      <c r="B4" s="24" t="s">
        <v>317</v>
      </c>
      <c r="C4" s="90" t="str">
        <f t="shared" ref="C4:C7" si="0">LOWER(B4)</f>
        <v>bb   bbb</v>
      </c>
      <c r="D4" s="90" t="str">
        <f t="shared" ref="D4:D7" si="1">UPPER(B4)</f>
        <v>BB   BBB</v>
      </c>
      <c r="E4" s="90" t="str">
        <f t="shared" ref="E4:E7" si="2">PROPER(B4)</f>
        <v>Bb   Bbb</v>
      </c>
      <c r="F4" s="91" t="str">
        <f t="shared" ref="F4:F7" si="3">TRIM(B4)</f>
        <v>BB bbb</v>
      </c>
    </row>
    <row r="5" spans="2:6">
      <c r="B5" s="24" t="s">
        <v>318</v>
      </c>
      <c r="C5" s="90" t="str">
        <f t="shared" si="0"/>
        <v>ccc  cc</v>
      </c>
      <c r="D5" s="90" t="str">
        <f t="shared" si="1"/>
        <v>CCC  CC</v>
      </c>
      <c r="E5" s="90" t="str">
        <f t="shared" si="2"/>
        <v>Ccc  Cc</v>
      </c>
      <c r="F5" s="91" t="str">
        <f t="shared" si="3"/>
        <v>CCC cc</v>
      </c>
    </row>
    <row r="6" spans="2:6">
      <c r="B6" s="24" t="s">
        <v>319</v>
      </c>
      <c r="C6" s="90" t="str">
        <f t="shared" si="0"/>
        <v>d   dddd</v>
      </c>
      <c r="D6" s="90" t="str">
        <f t="shared" si="1"/>
        <v>D   DDDD</v>
      </c>
      <c r="E6" s="90" t="str">
        <f t="shared" si="2"/>
        <v>D   Dddd</v>
      </c>
      <c r="F6" s="91" t="str">
        <f t="shared" si="3"/>
        <v>D dDdD</v>
      </c>
    </row>
    <row r="7" spans="2:6">
      <c r="B7" s="24" t="s">
        <v>320</v>
      </c>
      <c r="C7" s="90" t="str">
        <f t="shared" si="0"/>
        <v>ee  eee</v>
      </c>
      <c r="D7" s="90" t="str">
        <f t="shared" si="1"/>
        <v>EE  EEE</v>
      </c>
      <c r="E7" s="90" t="str">
        <f t="shared" si="2"/>
        <v>Ee  Eee</v>
      </c>
      <c r="F7" s="91" t="str">
        <f t="shared" si="3"/>
        <v>EE eee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7"/>
  <sheetViews>
    <sheetView workbookViewId="0">
      <selection activeCell="H15" sqref="H15"/>
    </sheetView>
  </sheetViews>
  <sheetFormatPr defaultRowHeight="16.5"/>
  <cols>
    <col min="1" max="1" width="11.625" bestFit="1" customWidth="1"/>
    <col min="2" max="2" width="31.375" bestFit="1" customWidth="1"/>
    <col min="3" max="3" width="17.625" bestFit="1" customWidth="1"/>
    <col min="4" max="4" width="20.75" bestFit="1" customWidth="1"/>
  </cols>
  <sheetData>
    <row r="2" spans="1:4">
      <c r="A2" s="36" t="s">
        <v>321</v>
      </c>
      <c r="B2" s="36" t="s">
        <v>322</v>
      </c>
      <c r="C2" s="92" t="s">
        <v>323</v>
      </c>
      <c r="D2" s="92" t="s">
        <v>324</v>
      </c>
    </row>
    <row r="3" spans="1:4">
      <c r="A3" s="36" t="s">
        <v>325</v>
      </c>
      <c r="B3" s="93" t="s">
        <v>326</v>
      </c>
      <c r="C3" s="36"/>
      <c r="D3" s="36"/>
    </row>
    <row r="4" spans="1:4">
      <c r="A4" s="36" t="s">
        <v>327</v>
      </c>
      <c r="B4" s="93" t="s">
        <v>328</v>
      </c>
      <c r="C4" s="36"/>
      <c r="D4" s="36"/>
    </row>
    <row r="5" spans="1:4">
      <c r="A5" s="36" t="s">
        <v>329</v>
      </c>
      <c r="B5" s="93" t="s">
        <v>330</v>
      </c>
      <c r="C5" s="36"/>
      <c r="D5" s="36"/>
    </row>
    <row r="6" spans="1:4">
      <c r="A6" s="36" t="s">
        <v>331</v>
      </c>
      <c r="B6" s="93" t="s">
        <v>332</v>
      </c>
      <c r="C6" s="36"/>
      <c r="D6" s="36"/>
    </row>
    <row r="7" spans="1:4">
      <c r="A7" s="36">
        <v>55</v>
      </c>
      <c r="B7" s="93" t="s">
        <v>333</v>
      </c>
      <c r="C7" s="36"/>
      <c r="D7" s="36"/>
    </row>
  </sheetData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7"/>
  <sheetViews>
    <sheetView workbookViewId="0"/>
  </sheetViews>
  <sheetFormatPr defaultRowHeight="16.5"/>
  <cols>
    <col min="1" max="1" width="11.625" bestFit="1" customWidth="1"/>
    <col min="2" max="2" width="31.375" bestFit="1" customWidth="1"/>
    <col min="3" max="3" width="17.625" bestFit="1" customWidth="1"/>
    <col min="4" max="4" width="20.75" bestFit="1" customWidth="1"/>
  </cols>
  <sheetData>
    <row r="2" spans="1:4">
      <c r="A2" s="36" t="s">
        <v>321</v>
      </c>
      <c r="B2" s="36" t="s">
        <v>322</v>
      </c>
      <c r="C2" s="92" t="s">
        <v>323</v>
      </c>
      <c r="D2" s="92" t="s">
        <v>324</v>
      </c>
    </row>
    <row r="3" spans="1:4">
      <c r="A3" s="36" t="s">
        <v>325</v>
      </c>
      <c r="B3" s="93" t="s">
        <v>326</v>
      </c>
      <c r="C3" s="29" t="str">
        <f>IFERROR(FIND(A3,B3),"에러")</f>
        <v>에러</v>
      </c>
      <c r="D3" s="29">
        <f>IFERROR(SEARCH(A3,B3),"에러")</f>
        <v>11</v>
      </c>
    </row>
    <row r="4" spans="1:4">
      <c r="A4" s="36" t="s">
        <v>327</v>
      </c>
      <c r="B4" s="93" t="s">
        <v>328</v>
      </c>
      <c r="C4" s="29">
        <f t="shared" ref="C4:C7" si="0">IFERROR(FIND(A4,B4),"에러")</f>
        <v>16</v>
      </c>
      <c r="D4" s="29">
        <f t="shared" ref="D4:D7" si="1">IFERROR(SEARCH(A4,B4),"에러")</f>
        <v>16</v>
      </c>
    </row>
    <row r="5" spans="1:4">
      <c r="A5" s="36" t="s">
        <v>329</v>
      </c>
      <c r="B5" s="93" t="s">
        <v>330</v>
      </c>
      <c r="C5" s="29" t="str">
        <f t="shared" si="0"/>
        <v>에러</v>
      </c>
      <c r="D5" s="29">
        <f t="shared" si="1"/>
        <v>6</v>
      </c>
    </row>
    <row r="6" spans="1:4">
      <c r="A6" s="36" t="s">
        <v>331</v>
      </c>
      <c r="B6" s="93" t="s">
        <v>332</v>
      </c>
      <c r="C6" s="29">
        <f t="shared" si="0"/>
        <v>8</v>
      </c>
      <c r="D6" s="29">
        <f t="shared" si="1"/>
        <v>8</v>
      </c>
    </row>
    <row r="7" spans="1:4">
      <c r="A7" s="36">
        <v>55</v>
      </c>
      <c r="B7" s="93" t="s">
        <v>333</v>
      </c>
      <c r="C7" s="29">
        <f t="shared" si="0"/>
        <v>11</v>
      </c>
      <c r="D7" s="29">
        <f t="shared" si="1"/>
        <v>11</v>
      </c>
    </row>
  </sheetData>
  <phoneticPr fontId="2" type="noConversion"/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19"/>
  <sheetViews>
    <sheetView workbookViewId="0">
      <selection activeCell="I20" sqref="I20"/>
    </sheetView>
  </sheetViews>
  <sheetFormatPr defaultRowHeight="16.5"/>
  <cols>
    <col min="1" max="1" width="9" style="74"/>
    <col min="2" max="2" width="11.25" style="74" customWidth="1"/>
    <col min="3" max="7" width="15.375" style="74" customWidth="1"/>
    <col min="8" max="16384" width="9" style="74"/>
  </cols>
  <sheetData>
    <row r="2" spans="1:7">
      <c r="A2" s="97" t="s">
        <v>335</v>
      </c>
      <c r="B2" s="88" t="s">
        <v>336</v>
      </c>
      <c r="C2" s="88" t="s">
        <v>337</v>
      </c>
      <c r="D2" s="94"/>
      <c r="E2" s="98"/>
      <c r="F2" s="98"/>
      <c r="G2" s="98"/>
    </row>
    <row r="3" spans="1:7">
      <c r="A3" s="97"/>
      <c r="B3" s="41">
        <v>225</v>
      </c>
      <c r="C3" s="50"/>
      <c r="D3" s="98"/>
      <c r="E3" s="98"/>
      <c r="F3" s="98"/>
      <c r="G3" s="98"/>
    </row>
    <row r="4" spans="1:7">
      <c r="A4" s="97"/>
      <c r="B4" s="41">
        <v>300</v>
      </c>
      <c r="C4" s="50"/>
      <c r="D4" s="98"/>
      <c r="E4" s="98"/>
      <c r="F4" s="98"/>
      <c r="G4" s="98"/>
    </row>
    <row r="5" spans="1:7">
      <c r="A5" s="97"/>
      <c r="B5" s="41">
        <v>387</v>
      </c>
      <c r="C5" s="50"/>
      <c r="D5" s="98"/>
      <c r="E5" s="98"/>
      <c r="F5" s="98"/>
      <c r="G5" s="98"/>
    </row>
    <row r="6" spans="1:7">
      <c r="A6" s="97"/>
      <c r="B6" s="41">
        <v>570</v>
      </c>
      <c r="C6" s="50"/>
      <c r="D6" s="98"/>
      <c r="E6" s="98"/>
      <c r="F6" s="98"/>
      <c r="G6" s="98"/>
    </row>
    <row r="7" spans="1:7">
      <c r="A7" s="97"/>
      <c r="B7" s="98"/>
      <c r="C7" s="98"/>
      <c r="D7" s="98"/>
      <c r="E7" s="98"/>
      <c r="F7" s="98"/>
      <c r="G7" s="98"/>
    </row>
    <row r="8" spans="1:7">
      <c r="A8" s="97" t="s">
        <v>338</v>
      </c>
      <c r="B8" s="88" t="s">
        <v>336</v>
      </c>
      <c r="C8" s="88" t="s">
        <v>339</v>
      </c>
      <c r="D8" s="88" t="s">
        <v>334</v>
      </c>
      <c r="E8" s="88" t="s">
        <v>340</v>
      </c>
      <c r="F8" s="88" t="s">
        <v>341</v>
      </c>
      <c r="G8" s="88" t="s">
        <v>342</v>
      </c>
    </row>
    <row r="9" spans="1:7">
      <c r="A9" s="97"/>
      <c r="B9" s="41">
        <v>5678.567</v>
      </c>
      <c r="C9" s="41">
        <v>2</v>
      </c>
      <c r="D9" s="99"/>
      <c r="E9" s="99"/>
      <c r="F9" s="99"/>
      <c r="G9" s="99"/>
    </row>
    <row r="10" spans="1:7">
      <c r="A10" s="97"/>
      <c r="B10" s="41">
        <v>5678.567</v>
      </c>
      <c r="C10" s="41">
        <v>1</v>
      </c>
      <c r="D10" s="99"/>
      <c r="E10" s="99"/>
      <c r="F10" s="99"/>
      <c r="G10" s="99"/>
    </row>
    <row r="11" spans="1:7">
      <c r="A11" s="97"/>
      <c r="B11" s="41">
        <v>5678.567</v>
      </c>
      <c r="C11" s="41">
        <v>0</v>
      </c>
      <c r="D11" s="99"/>
      <c r="E11" s="99"/>
      <c r="F11" s="99"/>
      <c r="G11" s="99"/>
    </row>
    <row r="12" spans="1:7">
      <c r="A12" s="97"/>
      <c r="B12" s="41">
        <v>5678.567</v>
      </c>
      <c r="C12" s="41">
        <v>-2</v>
      </c>
      <c r="D12" s="99"/>
      <c r="E12" s="99"/>
      <c r="F12" s="99"/>
      <c r="G12" s="99"/>
    </row>
    <row r="13" spans="1:7">
      <c r="A13" s="97"/>
      <c r="B13" s="41">
        <v>5678.567</v>
      </c>
      <c r="C13" s="41">
        <v>-1</v>
      </c>
      <c r="D13" s="99"/>
      <c r="E13" s="99"/>
      <c r="F13" s="99"/>
      <c r="G13" s="99"/>
    </row>
    <row r="14" spans="1:7">
      <c r="A14" s="97"/>
      <c r="B14" s="98"/>
      <c r="C14" s="98"/>
      <c r="D14" s="98"/>
      <c r="E14" s="98"/>
      <c r="F14" s="98"/>
      <c r="G14" s="98"/>
    </row>
    <row r="15" spans="1:7">
      <c r="A15" s="97" t="s">
        <v>343</v>
      </c>
      <c r="B15" s="88" t="s">
        <v>336</v>
      </c>
      <c r="C15" s="88" t="s">
        <v>344</v>
      </c>
      <c r="D15" s="88" t="s">
        <v>345</v>
      </c>
      <c r="E15" s="98"/>
      <c r="F15" s="98"/>
      <c r="G15" s="98"/>
    </row>
    <row r="16" spans="1:7">
      <c r="A16" s="97"/>
      <c r="B16" s="100">
        <v>456.78899999999999</v>
      </c>
      <c r="C16" s="95"/>
      <c r="D16" s="95"/>
      <c r="E16" s="98"/>
      <c r="F16" s="98"/>
      <c r="G16" s="98"/>
    </row>
    <row r="17" spans="1:7">
      <c r="A17" s="97"/>
      <c r="B17" s="100">
        <v>-456.78899999999999</v>
      </c>
      <c r="C17" s="95"/>
      <c r="D17" s="95"/>
      <c r="E17" s="98"/>
      <c r="F17" s="98"/>
      <c r="G17" s="98"/>
    </row>
    <row r="18" spans="1:7">
      <c r="A18" s="97"/>
      <c r="B18" s="101">
        <v>150</v>
      </c>
      <c r="C18" s="95"/>
      <c r="D18" s="95"/>
      <c r="E18" s="98"/>
      <c r="F18" s="98"/>
      <c r="G18" s="98"/>
    </row>
    <row r="19" spans="1:7">
      <c r="A19" s="97"/>
      <c r="B19" s="101">
        <v>250</v>
      </c>
      <c r="C19" s="95"/>
      <c r="D19" s="95"/>
      <c r="E19" s="98"/>
      <c r="F19" s="98"/>
      <c r="G19" s="98"/>
    </row>
  </sheetData>
  <phoneticPr fontId="2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H20"/>
  <sheetViews>
    <sheetView workbookViewId="0"/>
  </sheetViews>
  <sheetFormatPr defaultRowHeight="16.5"/>
  <cols>
    <col min="1" max="1" width="9" style="74"/>
    <col min="2" max="2" width="11.25" style="74" customWidth="1"/>
    <col min="3" max="7" width="15.375" style="74" customWidth="1"/>
    <col min="8" max="16384" width="9" style="74"/>
  </cols>
  <sheetData>
    <row r="2" spans="1:8">
      <c r="A2" s="97" t="s">
        <v>335</v>
      </c>
      <c r="B2" s="88" t="s">
        <v>336</v>
      </c>
      <c r="C2" s="88" t="s">
        <v>337</v>
      </c>
      <c r="D2" s="94"/>
      <c r="E2" s="98"/>
      <c r="F2" s="98"/>
      <c r="G2" s="98"/>
    </row>
    <row r="3" spans="1:8">
      <c r="A3" s="97"/>
      <c r="B3" s="41">
        <v>225</v>
      </c>
      <c r="C3" s="50" t="str">
        <f>IF(MOD(B3,2)=0,"짝수","홀수")</f>
        <v>홀수</v>
      </c>
      <c r="D3" s="98"/>
      <c r="E3" s="98"/>
      <c r="F3" s="98"/>
      <c r="G3" s="98"/>
      <c r="H3" s="47"/>
    </row>
    <row r="4" spans="1:8">
      <c r="A4" s="97"/>
      <c r="B4" s="41">
        <v>300</v>
      </c>
      <c r="C4" s="50" t="str">
        <f t="shared" ref="C4:C6" si="0">IF(MOD(B4,2)=0,"짝수","홀수")</f>
        <v>짝수</v>
      </c>
      <c r="D4" s="98"/>
      <c r="E4" s="98"/>
      <c r="F4" s="98"/>
      <c r="G4" s="98"/>
      <c r="H4" s="47"/>
    </row>
    <row r="5" spans="1:8">
      <c r="A5" s="97"/>
      <c r="B5" s="41">
        <v>387</v>
      </c>
      <c r="C5" s="50" t="str">
        <f t="shared" si="0"/>
        <v>홀수</v>
      </c>
      <c r="D5" s="98"/>
      <c r="E5" s="98"/>
      <c r="F5" s="98"/>
      <c r="G5" s="98"/>
      <c r="H5" s="47"/>
    </row>
    <row r="6" spans="1:8">
      <c r="A6" s="97"/>
      <c r="B6" s="41">
        <v>570</v>
      </c>
      <c r="C6" s="50" t="str">
        <f t="shared" si="0"/>
        <v>짝수</v>
      </c>
      <c r="D6" s="98"/>
      <c r="E6" s="98"/>
      <c r="F6" s="98"/>
      <c r="G6" s="98"/>
      <c r="H6" s="47"/>
    </row>
    <row r="7" spans="1:8">
      <c r="A7" s="97"/>
      <c r="B7" s="98"/>
      <c r="C7" s="98"/>
      <c r="D7" s="98"/>
      <c r="E7" s="98"/>
      <c r="F7" s="98"/>
      <c r="G7" s="98"/>
      <c r="H7" s="47"/>
    </row>
    <row r="8" spans="1:8">
      <c r="A8" s="97" t="s">
        <v>338</v>
      </c>
      <c r="B8" s="88" t="s">
        <v>336</v>
      </c>
      <c r="C8" s="88" t="s">
        <v>339</v>
      </c>
      <c r="D8" s="88" t="s">
        <v>334</v>
      </c>
      <c r="E8" s="88" t="s">
        <v>340</v>
      </c>
      <c r="F8" s="88" t="s">
        <v>341</v>
      </c>
      <c r="G8" s="88" t="s">
        <v>342</v>
      </c>
      <c r="H8" s="47"/>
    </row>
    <row r="9" spans="1:8">
      <c r="A9" s="97"/>
      <c r="B9" s="41">
        <v>5678.567</v>
      </c>
      <c r="C9" s="41">
        <v>2</v>
      </c>
      <c r="D9" s="89">
        <f>TRUNC(B9,C9)</f>
        <v>5678.56</v>
      </c>
      <c r="E9" s="89">
        <f>ROUND(B9,C9)</f>
        <v>5678.57</v>
      </c>
      <c r="F9" s="89">
        <f>ROUNDUP(B9,C9)</f>
        <v>5678.5700000000006</v>
      </c>
      <c r="G9" s="89">
        <f>ROUNDDOWN(B9,C9)</f>
        <v>5678.56</v>
      </c>
      <c r="H9" s="47"/>
    </row>
    <row r="10" spans="1:8">
      <c r="A10" s="97"/>
      <c r="B10" s="41">
        <v>5678.567</v>
      </c>
      <c r="C10" s="41">
        <v>1</v>
      </c>
      <c r="D10" s="89">
        <f t="shared" ref="D10:D13" si="1">TRUNC(B10,C10)</f>
        <v>5678.5</v>
      </c>
      <c r="E10" s="89">
        <f t="shared" ref="E10:E13" si="2">ROUND(B10,C10)</f>
        <v>5678.6</v>
      </c>
      <c r="F10" s="89">
        <f t="shared" ref="F10:F13" si="3">ROUNDUP(B10,C10)</f>
        <v>5678.6</v>
      </c>
      <c r="G10" s="89">
        <f t="shared" ref="G10:G13" si="4">ROUNDDOWN(B10,C10)</f>
        <v>5678.5</v>
      </c>
      <c r="H10" s="47"/>
    </row>
    <row r="11" spans="1:8">
      <c r="A11" s="97"/>
      <c r="B11" s="41">
        <v>5678.567</v>
      </c>
      <c r="C11" s="41">
        <v>0</v>
      </c>
      <c r="D11" s="89">
        <f t="shared" si="1"/>
        <v>5678</v>
      </c>
      <c r="E11" s="89">
        <f t="shared" si="2"/>
        <v>5679</v>
      </c>
      <c r="F11" s="89">
        <f t="shared" si="3"/>
        <v>5679</v>
      </c>
      <c r="G11" s="89">
        <f t="shared" si="4"/>
        <v>5678</v>
      </c>
      <c r="H11" s="47"/>
    </row>
    <row r="12" spans="1:8">
      <c r="A12" s="97"/>
      <c r="B12" s="41">
        <v>5678.567</v>
      </c>
      <c r="C12" s="41">
        <v>-2</v>
      </c>
      <c r="D12" s="89">
        <f t="shared" si="1"/>
        <v>5600</v>
      </c>
      <c r="E12" s="89">
        <f t="shared" si="2"/>
        <v>5700</v>
      </c>
      <c r="F12" s="89">
        <f t="shared" si="3"/>
        <v>5700</v>
      </c>
      <c r="G12" s="89">
        <f t="shared" si="4"/>
        <v>5600</v>
      </c>
      <c r="H12" s="47"/>
    </row>
    <row r="13" spans="1:8">
      <c r="A13" s="97"/>
      <c r="B13" s="41">
        <v>5678.567</v>
      </c>
      <c r="C13" s="41">
        <v>-1</v>
      </c>
      <c r="D13" s="89">
        <f t="shared" si="1"/>
        <v>5670</v>
      </c>
      <c r="E13" s="89">
        <f t="shared" si="2"/>
        <v>5680</v>
      </c>
      <c r="F13" s="89">
        <f t="shared" si="3"/>
        <v>5680</v>
      </c>
      <c r="G13" s="89">
        <f t="shared" si="4"/>
        <v>5670</v>
      </c>
      <c r="H13" s="47"/>
    </row>
    <row r="14" spans="1:8">
      <c r="A14" s="97"/>
      <c r="B14" s="98"/>
      <c r="C14" s="98"/>
      <c r="D14" s="98"/>
      <c r="E14" s="98"/>
      <c r="F14" s="98"/>
      <c r="G14" s="98"/>
      <c r="H14" s="47"/>
    </row>
    <row r="15" spans="1:8">
      <c r="A15" s="97" t="s">
        <v>343</v>
      </c>
      <c r="B15" s="88" t="s">
        <v>336</v>
      </c>
      <c r="C15" s="88" t="s">
        <v>344</v>
      </c>
      <c r="D15" s="88" t="s">
        <v>345</v>
      </c>
      <c r="E15" s="98"/>
      <c r="F15" s="98"/>
      <c r="G15" s="98"/>
      <c r="H15" s="47"/>
    </row>
    <row r="16" spans="1:8">
      <c r="A16" s="97"/>
      <c r="B16" s="100">
        <v>456.78899999999999</v>
      </c>
      <c r="C16" s="95">
        <f>INT(B16)</f>
        <v>456</v>
      </c>
      <c r="D16" s="96">
        <f>ABS(B16)</f>
        <v>456.78899999999999</v>
      </c>
      <c r="E16" s="98"/>
      <c r="F16" s="98"/>
      <c r="G16" s="98"/>
      <c r="H16" s="47"/>
    </row>
    <row r="17" spans="1:8">
      <c r="A17" s="97"/>
      <c r="B17" s="100">
        <v>-456.78899999999999</v>
      </c>
      <c r="C17" s="95">
        <f t="shared" ref="C17:C19" si="5">INT(B17)</f>
        <v>-457</v>
      </c>
      <c r="D17" s="96">
        <f t="shared" ref="D17:D19" si="6">ABS(B17)</f>
        <v>456.78899999999999</v>
      </c>
      <c r="E17" s="98"/>
      <c r="F17" s="98"/>
      <c r="G17" s="98"/>
      <c r="H17" s="47"/>
    </row>
    <row r="18" spans="1:8">
      <c r="A18" s="97"/>
      <c r="B18" s="101">
        <v>150</v>
      </c>
      <c r="C18" s="95">
        <f t="shared" si="5"/>
        <v>150</v>
      </c>
      <c r="D18" s="96">
        <f t="shared" si="6"/>
        <v>150</v>
      </c>
      <c r="E18" s="98"/>
      <c r="F18" s="98"/>
      <c r="G18" s="98"/>
      <c r="H18" s="47"/>
    </row>
    <row r="19" spans="1:8">
      <c r="A19" s="97"/>
      <c r="B19" s="101">
        <v>250</v>
      </c>
      <c r="C19" s="95">
        <f t="shared" si="5"/>
        <v>250</v>
      </c>
      <c r="D19" s="96">
        <f t="shared" si="6"/>
        <v>250</v>
      </c>
      <c r="E19" s="98"/>
      <c r="F19" s="98"/>
      <c r="G19" s="98"/>
      <c r="H19" s="47"/>
    </row>
    <row r="20" spans="1:8">
      <c r="C20" s="47"/>
      <c r="D20" s="47"/>
      <c r="E20" s="47"/>
      <c r="F20" s="47"/>
      <c r="G20" s="47"/>
      <c r="H20" s="47"/>
    </row>
  </sheetData>
  <phoneticPr fontId="2" type="noConversion"/>
  <pageMargins left="0.7" right="0.7" top="0.75" bottom="0.75" header="0.3" footer="0.3"/>
  <pageSetup paperSize="9" orientation="portrait" horizontalDpi="4294967293" verticalDpi="4294967293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19"/>
  <sheetViews>
    <sheetView workbookViewId="0">
      <selection activeCell="P20" sqref="P20"/>
    </sheetView>
  </sheetViews>
  <sheetFormatPr defaultRowHeight="16.5"/>
  <cols>
    <col min="1" max="16384" width="9" style="1"/>
  </cols>
  <sheetData>
    <row r="2" spans="1:9">
      <c r="A2" s="106" t="s">
        <v>346</v>
      </c>
      <c r="B2" s="24">
        <v>25</v>
      </c>
      <c r="C2" s="52"/>
      <c r="D2" s="22"/>
      <c r="E2" s="52"/>
      <c r="F2" s="106" t="s">
        <v>347</v>
      </c>
      <c r="G2" s="52"/>
      <c r="H2" s="22"/>
      <c r="I2" s="52"/>
    </row>
    <row r="3" spans="1:9">
      <c r="A3" s="106"/>
      <c r="B3" s="52"/>
      <c r="C3" s="52"/>
      <c r="D3" s="52"/>
      <c r="E3" s="52"/>
      <c r="F3" s="106"/>
      <c r="G3" s="52"/>
      <c r="H3" s="52"/>
      <c r="I3" s="52"/>
    </row>
    <row r="4" spans="1:9">
      <c r="A4" s="106" t="s">
        <v>348</v>
      </c>
      <c r="B4" s="24">
        <v>5</v>
      </c>
      <c r="C4" s="52"/>
      <c r="D4" s="22"/>
      <c r="E4" s="52"/>
      <c r="F4" s="106" t="s">
        <v>349</v>
      </c>
      <c r="G4" s="52"/>
      <c r="H4" s="22"/>
      <c r="I4" s="52"/>
    </row>
    <row r="5" spans="1:9">
      <c r="A5" s="106"/>
      <c r="B5" s="52"/>
      <c r="C5" s="52"/>
      <c r="D5" s="52"/>
      <c r="E5" s="52"/>
      <c r="F5" s="52"/>
      <c r="G5" s="52"/>
      <c r="H5" s="52"/>
      <c r="I5" s="52"/>
    </row>
    <row r="6" spans="1:9">
      <c r="A6" s="106" t="s">
        <v>350</v>
      </c>
      <c r="B6" s="24">
        <v>4</v>
      </c>
      <c r="C6" s="52"/>
      <c r="D6" s="22"/>
      <c r="E6" s="52"/>
      <c r="F6" s="52"/>
      <c r="G6" s="52"/>
      <c r="H6" s="52"/>
      <c r="I6" s="52"/>
    </row>
    <row r="7" spans="1:9">
      <c r="A7" s="52"/>
      <c r="B7" s="106"/>
      <c r="C7" s="52"/>
      <c r="D7" s="52"/>
      <c r="E7" s="52"/>
      <c r="F7" s="52"/>
      <c r="G7" s="52"/>
      <c r="H7" s="52"/>
      <c r="I7" s="52"/>
    </row>
    <row r="8" spans="1:9">
      <c r="A8" s="52"/>
      <c r="B8" s="88" t="s">
        <v>351</v>
      </c>
      <c r="C8" s="88" t="s">
        <v>352</v>
      </c>
      <c r="D8" s="88" t="s">
        <v>353</v>
      </c>
      <c r="E8" s="88" t="s">
        <v>354</v>
      </c>
      <c r="F8" s="88" t="s">
        <v>355</v>
      </c>
      <c r="G8" s="88" t="s">
        <v>357</v>
      </c>
      <c r="H8" s="52"/>
      <c r="I8" s="52"/>
    </row>
    <row r="9" spans="1:9">
      <c r="A9" s="52"/>
      <c r="B9" s="24" t="s">
        <v>359</v>
      </c>
      <c r="C9" s="24" t="s">
        <v>360</v>
      </c>
      <c r="D9" s="24">
        <v>557</v>
      </c>
      <c r="E9" s="24">
        <v>345</v>
      </c>
      <c r="F9" s="24">
        <v>721</v>
      </c>
      <c r="G9" s="24">
        <f t="shared" ref="G9:G15" si="0">SUM(D9:F9)</f>
        <v>1623</v>
      </c>
      <c r="H9" s="52"/>
      <c r="I9" s="52"/>
    </row>
    <row r="10" spans="1:9">
      <c r="A10" s="52"/>
      <c r="B10" s="24" t="s">
        <v>361</v>
      </c>
      <c r="C10" s="24" t="s">
        <v>362</v>
      </c>
      <c r="D10" s="24">
        <v>476</v>
      </c>
      <c r="E10" s="24">
        <v>513</v>
      </c>
      <c r="F10" s="24">
        <v>174</v>
      </c>
      <c r="G10" s="24">
        <f t="shared" si="0"/>
        <v>1163</v>
      </c>
      <c r="H10" s="52"/>
      <c r="I10" s="52"/>
    </row>
    <row r="11" spans="1:9">
      <c r="A11" s="52"/>
      <c r="B11" s="24" t="s">
        <v>363</v>
      </c>
      <c r="C11" s="24" t="s">
        <v>360</v>
      </c>
      <c r="D11" s="24">
        <v>231</v>
      </c>
      <c r="E11" s="24">
        <v>474</v>
      </c>
      <c r="F11" s="24">
        <v>358</v>
      </c>
      <c r="G11" s="24">
        <f t="shared" si="0"/>
        <v>1063</v>
      </c>
      <c r="H11" s="52"/>
      <c r="I11" s="52"/>
    </row>
    <row r="12" spans="1:9">
      <c r="A12" s="52"/>
      <c r="B12" s="24" t="s">
        <v>364</v>
      </c>
      <c r="C12" s="24" t="s">
        <v>360</v>
      </c>
      <c r="D12" s="24">
        <v>175</v>
      </c>
      <c r="E12" s="24">
        <v>453</v>
      </c>
      <c r="F12" s="24">
        <v>443</v>
      </c>
      <c r="G12" s="24">
        <f t="shared" si="0"/>
        <v>1071</v>
      </c>
      <c r="H12" s="52"/>
      <c r="I12" s="52"/>
    </row>
    <row r="13" spans="1:9">
      <c r="A13" s="52"/>
      <c r="B13" s="24" t="s">
        <v>365</v>
      </c>
      <c r="C13" s="24" t="s">
        <v>362</v>
      </c>
      <c r="D13" s="24">
        <v>834</v>
      </c>
      <c r="E13" s="24">
        <v>401</v>
      </c>
      <c r="F13" s="24">
        <v>743</v>
      </c>
      <c r="G13" s="24">
        <f t="shared" si="0"/>
        <v>1978</v>
      </c>
      <c r="H13" s="52"/>
      <c r="I13" s="52"/>
    </row>
    <row r="14" spans="1:9">
      <c r="A14" s="52"/>
      <c r="B14" s="24" t="s">
        <v>366</v>
      </c>
      <c r="C14" s="24" t="s">
        <v>360</v>
      </c>
      <c r="D14" s="24">
        <v>597</v>
      </c>
      <c r="E14" s="24">
        <v>347</v>
      </c>
      <c r="F14" s="24">
        <v>346</v>
      </c>
      <c r="G14" s="24">
        <f t="shared" si="0"/>
        <v>1290</v>
      </c>
      <c r="H14" s="52"/>
      <c r="I14" s="52"/>
    </row>
    <row r="15" spans="1:9">
      <c r="A15" s="52"/>
      <c r="B15" s="24" t="s">
        <v>367</v>
      </c>
      <c r="C15" s="24" t="s">
        <v>362</v>
      </c>
      <c r="D15" s="24">
        <v>634</v>
      </c>
      <c r="E15" s="24">
        <v>530</v>
      </c>
      <c r="F15" s="24">
        <v>651</v>
      </c>
      <c r="G15" s="24">
        <f t="shared" si="0"/>
        <v>1815</v>
      </c>
      <c r="H15" s="52"/>
      <c r="I15" s="52"/>
    </row>
    <row r="16" spans="1:9">
      <c r="A16" s="52"/>
      <c r="B16" s="52"/>
      <c r="C16" s="52"/>
      <c r="D16" s="52"/>
      <c r="E16" s="52"/>
      <c r="F16" s="52"/>
      <c r="G16" s="52"/>
      <c r="H16" s="52"/>
      <c r="I16" s="52"/>
    </row>
    <row r="17" spans="1:10">
      <c r="A17" s="52"/>
      <c r="B17" s="52"/>
      <c r="C17" s="52"/>
      <c r="D17" s="52"/>
      <c r="E17" s="52"/>
      <c r="F17" s="52"/>
      <c r="G17" s="52"/>
      <c r="H17" s="52"/>
      <c r="I17" s="52"/>
    </row>
    <row r="18" spans="1:10">
      <c r="A18" s="52"/>
      <c r="B18" s="88" t="s">
        <v>352</v>
      </c>
      <c r="C18" s="88" t="s">
        <v>368</v>
      </c>
      <c r="D18" s="88" t="s">
        <v>369</v>
      </c>
      <c r="E18" s="88" t="s">
        <v>370</v>
      </c>
      <c r="F18" s="88" t="s">
        <v>371</v>
      </c>
      <c r="H18" s="179" t="s">
        <v>372</v>
      </c>
      <c r="I18" s="180"/>
      <c r="J18" s="181"/>
    </row>
    <row r="19" spans="1:10">
      <c r="A19" s="52"/>
      <c r="B19" s="24" t="s">
        <v>360</v>
      </c>
      <c r="C19" s="22"/>
      <c r="D19" s="22"/>
      <c r="E19" s="22"/>
      <c r="F19" s="22"/>
      <c r="H19" s="182"/>
      <c r="I19" s="183"/>
      <c r="J19" s="184"/>
    </row>
  </sheetData>
  <mergeCells count="2">
    <mergeCell ref="H18:J18"/>
    <mergeCell ref="H19:J19"/>
  </mergeCells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9"/>
  <sheetViews>
    <sheetView topLeftCell="A8" workbookViewId="0">
      <selection activeCell="E23" sqref="E23"/>
    </sheetView>
  </sheetViews>
  <sheetFormatPr defaultRowHeight="16.5"/>
  <cols>
    <col min="3" max="3" width="10.875" bestFit="1" customWidth="1"/>
    <col min="4" max="4" width="11.625" bestFit="1" customWidth="1"/>
    <col min="5" max="5" width="10.875" bestFit="1" customWidth="1"/>
    <col min="8" max="8" width="12.875" customWidth="1"/>
    <col min="9" max="9" width="11.875" bestFit="1" customWidth="1"/>
  </cols>
  <sheetData>
    <row r="1" spans="1:9">
      <c r="A1" s="1" t="s">
        <v>2</v>
      </c>
      <c r="B1" s="1" t="s">
        <v>0</v>
      </c>
      <c r="C1" s="1"/>
      <c r="D1" s="1"/>
      <c r="E1" s="1"/>
      <c r="F1" s="2" t="s">
        <v>3</v>
      </c>
      <c r="G1" s="3" t="s">
        <v>1</v>
      </c>
      <c r="H1" s="4"/>
      <c r="I1" s="3"/>
    </row>
    <row r="2" spans="1:9">
      <c r="A2" s="5" t="s">
        <v>4</v>
      </c>
      <c r="B2" s="5" t="s">
        <v>5</v>
      </c>
      <c r="C2" s="5" t="s">
        <v>6</v>
      </c>
      <c r="D2" s="6" t="s">
        <v>7</v>
      </c>
      <c r="E2" s="1"/>
      <c r="F2" s="7" t="s">
        <v>8</v>
      </c>
      <c r="G2" s="7" t="s">
        <v>9</v>
      </c>
      <c r="H2" s="8" t="s">
        <v>10</v>
      </c>
      <c r="I2" s="6" t="s">
        <v>11</v>
      </c>
    </row>
    <row r="3" spans="1:9">
      <c r="A3" s="5" t="s">
        <v>12</v>
      </c>
      <c r="B3" s="5">
        <v>327</v>
      </c>
      <c r="C3" s="9">
        <f>B3*3000</f>
        <v>981000</v>
      </c>
      <c r="D3" s="9">
        <f>C3*$C$9</f>
        <v>245250</v>
      </c>
      <c r="E3" s="1"/>
      <c r="F3" s="10" t="s">
        <v>13</v>
      </c>
      <c r="G3" s="11">
        <v>5</v>
      </c>
      <c r="H3" s="12">
        <v>5</v>
      </c>
      <c r="I3" s="13">
        <f>H3/$G$8</f>
        <v>0.1</v>
      </c>
    </row>
    <row r="4" spans="1:9">
      <c r="A4" s="5" t="s">
        <v>14</v>
      </c>
      <c r="B4" s="5">
        <v>370</v>
      </c>
      <c r="C4" s="9">
        <f>B4*350</f>
        <v>129500</v>
      </c>
      <c r="D4" s="9">
        <f t="shared" ref="D4:D8" si="0">C4*$C$9</f>
        <v>32375</v>
      </c>
      <c r="E4" s="1"/>
      <c r="F4" s="10" t="s">
        <v>15</v>
      </c>
      <c r="G4" s="11">
        <v>20</v>
      </c>
      <c r="H4" s="12">
        <v>25</v>
      </c>
      <c r="I4" s="13">
        <f t="shared" ref="I4:I7" si="1">H4/$G$8</f>
        <v>0.5</v>
      </c>
    </row>
    <row r="5" spans="1:9">
      <c r="A5" s="5" t="s">
        <v>16</v>
      </c>
      <c r="B5" s="5">
        <v>450</v>
      </c>
      <c r="C5" s="9">
        <f>B5*6500</f>
        <v>2925000</v>
      </c>
      <c r="D5" s="9">
        <f t="shared" si="0"/>
        <v>731250</v>
      </c>
      <c r="E5" s="1"/>
      <c r="F5" s="10" t="s">
        <v>17</v>
      </c>
      <c r="G5" s="11">
        <v>15</v>
      </c>
      <c r="H5" s="12">
        <v>40</v>
      </c>
      <c r="I5" s="13">
        <f t="shared" si="1"/>
        <v>0.8</v>
      </c>
    </row>
    <row r="6" spans="1:9">
      <c r="A6" s="5" t="s">
        <v>18</v>
      </c>
      <c r="B6" s="5">
        <v>900</v>
      </c>
      <c r="C6" s="9">
        <f>B6*340</f>
        <v>306000</v>
      </c>
      <c r="D6" s="9">
        <f t="shared" si="0"/>
        <v>76500</v>
      </c>
      <c r="E6" s="1"/>
      <c r="F6" s="14" t="s">
        <v>19</v>
      </c>
      <c r="G6" s="15">
        <v>7</v>
      </c>
      <c r="H6" s="12">
        <v>47</v>
      </c>
      <c r="I6" s="13">
        <f t="shared" si="1"/>
        <v>0.94</v>
      </c>
    </row>
    <row r="7" spans="1:9">
      <c r="A7" s="5" t="s">
        <v>20</v>
      </c>
      <c r="B7" s="5">
        <v>789</v>
      </c>
      <c r="C7" s="9">
        <f>B7*220</f>
        <v>173580</v>
      </c>
      <c r="D7" s="9">
        <f t="shared" si="0"/>
        <v>43395</v>
      </c>
      <c r="E7" s="1"/>
      <c r="F7" s="14" t="s">
        <v>21</v>
      </c>
      <c r="G7" s="15">
        <v>3</v>
      </c>
      <c r="H7" s="12">
        <v>50</v>
      </c>
      <c r="I7" s="13">
        <f t="shared" si="1"/>
        <v>1</v>
      </c>
    </row>
    <row r="8" spans="1:9">
      <c r="A8" s="5" t="s">
        <v>22</v>
      </c>
      <c r="B8" s="5">
        <v>670</v>
      </c>
      <c r="C8" s="9">
        <f>B8*550</f>
        <v>368500</v>
      </c>
      <c r="D8" s="9">
        <f t="shared" si="0"/>
        <v>92125</v>
      </c>
      <c r="E8" s="1"/>
      <c r="F8" s="14" t="s">
        <v>23</v>
      </c>
      <c r="G8" s="16">
        <f>SUM(G3:G7)</f>
        <v>50</v>
      </c>
      <c r="H8" s="17"/>
      <c r="I8" s="17"/>
    </row>
    <row r="9" spans="1:9">
      <c r="A9" s="18"/>
      <c r="B9" s="5" t="s">
        <v>24</v>
      </c>
      <c r="C9" s="19">
        <v>0.25</v>
      </c>
      <c r="D9" s="20"/>
      <c r="E9" s="1"/>
      <c r="F9" s="1"/>
      <c r="G9" s="1"/>
      <c r="H9" s="1"/>
      <c r="I9" s="1"/>
    </row>
  </sheetData>
  <phoneticPr fontId="2" type="noConversion"/>
  <pageMargins left="0.7" right="0.7" top="0.75" bottom="0.75" header="0.3" footer="0.3"/>
  <pageSetup paperSize="9" orientation="portrait" horizontalDpi="4294967293" verticalDpi="4294967293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19"/>
  <sheetViews>
    <sheetView workbookViewId="0">
      <selection activeCell="L22" sqref="L22"/>
    </sheetView>
  </sheetViews>
  <sheetFormatPr defaultRowHeight="16.5"/>
  <cols>
    <col min="1" max="16384" width="9" style="1"/>
  </cols>
  <sheetData>
    <row r="2" spans="1:9">
      <c r="A2" s="104" t="s">
        <v>373</v>
      </c>
      <c r="B2" s="24">
        <v>25</v>
      </c>
      <c r="C2" s="52"/>
      <c r="D2" s="22">
        <f>SQRT(B2)</f>
        <v>5</v>
      </c>
      <c r="E2" s="52"/>
      <c r="F2" s="104" t="s">
        <v>374</v>
      </c>
      <c r="G2" s="52"/>
      <c r="H2" s="22">
        <f>PI( )</f>
        <v>3.1415926535897931</v>
      </c>
      <c r="I2" s="52"/>
    </row>
    <row r="3" spans="1:9">
      <c r="A3" s="104"/>
      <c r="B3" s="52"/>
      <c r="C3" s="52"/>
      <c r="D3" s="52"/>
      <c r="E3" s="52"/>
      <c r="F3" s="104"/>
      <c r="G3" s="52"/>
      <c r="H3" s="52"/>
      <c r="I3" s="52"/>
    </row>
    <row r="4" spans="1:9">
      <c r="A4" s="104" t="s">
        <v>348</v>
      </c>
      <c r="B4" s="24">
        <v>5</v>
      </c>
      <c r="C4" s="52"/>
      <c r="D4" s="22">
        <f>FACT(B4)</f>
        <v>120</v>
      </c>
      <c r="E4" s="52"/>
      <c r="F4" s="104" t="s">
        <v>375</v>
      </c>
      <c r="G4" s="52"/>
      <c r="H4" s="22">
        <f ca="1">RAND( )</f>
        <v>8.6688118601698227E-2</v>
      </c>
      <c r="I4" s="52"/>
    </row>
    <row r="5" spans="1:9">
      <c r="A5" s="104"/>
      <c r="B5" s="52"/>
      <c r="C5" s="52"/>
      <c r="D5" s="52"/>
      <c r="E5" s="52"/>
      <c r="F5" s="52"/>
      <c r="G5" s="52"/>
      <c r="H5" s="52"/>
      <c r="I5" s="52"/>
    </row>
    <row r="6" spans="1:9">
      <c r="A6" s="104" t="s">
        <v>376</v>
      </c>
      <c r="B6" s="24">
        <v>4</v>
      </c>
      <c r="C6" s="52"/>
      <c r="D6" s="22">
        <f>POWER(B6,3)</f>
        <v>64</v>
      </c>
      <c r="E6" s="52"/>
      <c r="F6" s="52"/>
      <c r="G6" s="52"/>
      <c r="H6" s="52"/>
      <c r="I6" s="52"/>
    </row>
    <row r="7" spans="1:9">
      <c r="A7" s="52"/>
      <c r="B7" s="104"/>
      <c r="C7" s="52"/>
      <c r="D7" s="52"/>
      <c r="E7" s="52"/>
      <c r="F7" s="52"/>
      <c r="G7" s="52"/>
      <c r="H7" s="52"/>
      <c r="I7" s="52"/>
    </row>
    <row r="8" spans="1:9">
      <c r="A8" s="52"/>
      <c r="B8" s="88" t="s">
        <v>80</v>
      </c>
      <c r="C8" s="88" t="s">
        <v>154</v>
      </c>
      <c r="D8" s="88" t="s">
        <v>26</v>
      </c>
      <c r="E8" s="88" t="s">
        <v>27</v>
      </c>
      <c r="F8" s="88" t="s">
        <v>28</v>
      </c>
      <c r="G8" s="88" t="s">
        <v>356</v>
      </c>
      <c r="H8" s="52"/>
      <c r="I8" s="52"/>
    </row>
    <row r="9" spans="1:9">
      <c r="A9" s="52"/>
      <c r="B9" s="24" t="s">
        <v>358</v>
      </c>
      <c r="C9" s="24" t="s">
        <v>162</v>
      </c>
      <c r="D9" s="24">
        <v>557</v>
      </c>
      <c r="E9" s="24">
        <v>345</v>
      </c>
      <c r="F9" s="24">
        <v>721</v>
      </c>
      <c r="G9" s="24">
        <f t="shared" ref="G9:G15" si="0">SUM(D9:F9)</f>
        <v>1623</v>
      </c>
      <c r="H9" s="52"/>
      <c r="I9" s="52"/>
    </row>
    <row r="10" spans="1:9">
      <c r="A10" s="52"/>
      <c r="B10" s="24" t="s">
        <v>377</v>
      </c>
      <c r="C10" s="24" t="s">
        <v>378</v>
      </c>
      <c r="D10" s="24">
        <v>476</v>
      </c>
      <c r="E10" s="24">
        <v>513</v>
      </c>
      <c r="F10" s="24">
        <v>174</v>
      </c>
      <c r="G10" s="24">
        <f t="shared" si="0"/>
        <v>1163</v>
      </c>
      <c r="H10" s="52"/>
      <c r="I10" s="52"/>
    </row>
    <row r="11" spans="1:9">
      <c r="A11" s="52"/>
      <c r="B11" s="24" t="s">
        <v>379</v>
      </c>
      <c r="C11" s="24" t="s">
        <v>380</v>
      </c>
      <c r="D11" s="24">
        <v>231</v>
      </c>
      <c r="E11" s="24">
        <v>474</v>
      </c>
      <c r="F11" s="24">
        <v>358</v>
      </c>
      <c r="G11" s="24">
        <f t="shared" si="0"/>
        <v>1063</v>
      </c>
      <c r="H11" s="52"/>
      <c r="I11" s="52"/>
    </row>
    <row r="12" spans="1:9">
      <c r="A12" s="52"/>
      <c r="B12" s="24" t="s">
        <v>381</v>
      </c>
      <c r="C12" s="24" t="s">
        <v>380</v>
      </c>
      <c r="D12" s="24">
        <v>175</v>
      </c>
      <c r="E12" s="24">
        <v>453</v>
      </c>
      <c r="F12" s="24">
        <v>443</v>
      </c>
      <c r="G12" s="24">
        <f t="shared" si="0"/>
        <v>1071</v>
      </c>
      <c r="H12" s="52"/>
      <c r="I12" s="52"/>
    </row>
    <row r="13" spans="1:9">
      <c r="A13" s="52"/>
      <c r="B13" s="24" t="s">
        <v>382</v>
      </c>
      <c r="C13" s="24" t="s">
        <v>378</v>
      </c>
      <c r="D13" s="24">
        <v>834</v>
      </c>
      <c r="E13" s="24">
        <v>401</v>
      </c>
      <c r="F13" s="24">
        <v>743</v>
      </c>
      <c r="G13" s="24">
        <f t="shared" si="0"/>
        <v>1978</v>
      </c>
      <c r="H13" s="52"/>
      <c r="I13" s="52"/>
    </row>
    <row r="14" spans="1:9">
      <c r="A14" s="52"/>
      <c r="B14" s="24" t="s">
        <v>383</v>
      </c>
      <c r="C14" s="24" t="s">
        <v>380</v>
      </c>
      <c r="D14" s="24">
        <v>597</v>
      </c>
      <c r="E14" s="24">
        <v>347</v>
      </c>
      <c r="F14" s="24">
        <v>346</v>
      </c>
      <c r="G14" s="24">
        <f t="shared" si="0"/>
        <v>1290</v>
      </c>
      <c r="H14" s="52"/>
      <c r="I14" s="52"/>
    </row>
    <row r="15" spans="1:9">
      <c r="A15" s="52"/>
      <c r="B15" s="24" t="s">
        <v>384</v>
      </c>
      <c r="C15" s="24" t="s">
        <v>378</v>
      </c>
      <c r="D15" s="24">
        <v>634</v>
      </c>
      <c r="E15" s="24">
        <v>530</v>
      </c>
      <c r="F15" s="24">
        <v>651</v>
      </c>
      <c r="G15" s="24">
        <f t="shared" si="0"/>
        <v>1815</v>
      </c>
      <c r="H15" s="52"/>
      <c r="I15" s="52"/>
    </row>
    <row r="16" spans="1:9">
      <c r="A16" s="52"/>
      <c r="B16" s="52"/>
      <c r="C16" s="52"/>
      <c r="D16" s="52"/>
      <c r="E16" s="52"/>
      <c r="F16" s="52"/>
      <c r="G16" s="52"/>
      <c r="H16" s="52"/>
      <c r="I16" s="52"/>
    </row>
    <row r="17" spans="1:10">
      <c r="A17" s="52"/>
      <c r="B17" s="52"/>
      <c r="C17" s="52"/>
      <c r="D17" s="52"/>
      <c r="E17" s="52"/>
      <c r="F17" s="52"/>
      <c r="G17" s="52"/>
      <c r="H17" s="52"/>
      <c r="I17" s="52"/>
    </row>
    <row r="18" spans="1:10">
      <c r="A18" s="52"/>
      <c r="B18" s="88" t="s">
        <v>385</v>
      </c>
      <c r="C18" s="88" t="s">
        <v>386</v>
      </c>
      <c r="D18" s="88" t="s">
        <v>387</v>
      </c>
      <c r="E18" s="88" t="s">
        <v>388</v>
      </c>
      <c r="F18" s="88" t="s">
        <v>389</v>
      </c>
      <c r="H18" s="179" t="s">
        <v>390</v>
      </c>
      <c r="I18" s="180"/>
      <c r="J18" s="181"/>
    </row>
    <row r="19" spans="1:10">
      <c r="A19" s="52"/>
      <c r="B19" s="24" t="s">
        <v>380</v>
      </c>
      <c r="C19" s="22">
        <f>COUNTIF(C9:C15, B19)</f>
        <v>4</v>
      </c>
      <c r="D19" s="22">
        <f>SUMIF($C$9:$C$15, $B$19,D9:D15)</f>
        <v>1560</v>
      </c>
      <c r="E19" s="22">
        <f>SUMIF($C$9:$C$15, $B$19,E9:E15)</f>
        <v>1619</v>
      </c>
      <c r="F19" s="22">
        <f>SUMIF($C$9:$C$15, $B$19,F9:F15)</f>
        <v>1868</v>
      </c>
      <c r="H19" s="182">
        <f>SUMIFS(G9:G15,D9:D15,"&gt;=400",E9:E15,"&gt;=400",F9:F15,"&gt;=400")</f>
        <v>3793</v>
      </c>
      <c r="I19" s="183"/>
      <c r="J19" s="184"/>
    </row>
  </sheetData>
  <mergeCells count="2">
    <mergeCell ref="H19:J19"/>
    <mergeCell ref="H18:J18"/>
  </mergeCells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1"/>
  <sheetViews>
    <sheetView workbookViewId="0">
      <selection activeCell="N20" sqref="N20"/>
    </sheetView>
  </sheetViews>
  <sheetFormatPr defaultRowHeight="16.5"/>
  <cols>
    <col min="2" max="2" width="9.125" bestFit="1" customWidth="1"/>
    <col min="3" max="3" width="11.875" bestFit="1" customWidth="1"/>
    <col min="4" max="4" width="11" bestFit="1" customWidth="1"/>
    <col min="5" max="8" width="9.125" bestFit="1" customWidth="1"/>
    <col min="9" max="9" width="11" bestFit="1" customWidth="1"/>
  </cols>
  <sheetData>
    <row r="1" spans="1:9">
      <c r="A1" s="21" t="s">
        <v>2</v>
      </c>
      <c r="B1" s="21" t="s">
        <v>391</v>
      </c>
      <c r="C1" s="21"/>
      <c r="D1" s="21"/>
      <c r="E1" s="21"/>
      <c r="F1" s="21"/>
      <c r="G1" s="109" t="s">
        <v>3</v>
      </c>
      <c r="H1" s="2" t="s">
        <v>392</v>
      </c>
      <c r="I1" s="21"/>
    </row>
    <row r="2" spans="1:9">
      <c r="A2" s="84" t="s">
        <v>393</v>
      </c>
      <c r="B2" s="84" t="s">
        <v>29</v>
      </c>
      <c r="C2" s="84" t="s">
        <v>394</v>
      </c>
      <c r="D2" s="84" t="s">
        <v>395</v>
      </c>
      <c r="E2" s="50" t="s">
        <v>396</v>
      </c>
      <c r="F2" s="21"/>
      <c r="G2" s="110" t="s">
        <v>397</v>
      </c>
      <c r="H2" s="111" t="s">
        <v>398</v>
      </c>
      <c r="I2" s="50" t="s">
        <v>399</v>
      </c>
    </row>
    <row r="3" spans="1:9">
      <c r="A3" s="84" t="s">
        <v>400</v>
      </c>
      <c r="B3" s="23">
        <v>108</v>
      </c>
      <c r="C3" s="23">
        <v>150</v>
      </c>
      <c r="D3" s="23">
        <v>97</v>
      </c>
      <c r="E3" s="23"/>
      <c r="F3" s="21"/>
      <c r="G3" s="84" t="s">
        <v>401</v>
      </c>
      <c r="H3" s="112">
        <v>77</v>
      </c>
      <c r="I3" s="84"/>
    </row>
    <row r="4" spans="1:9">
      <c r="A4" s="84" t="s">
        <v>402</v>
      </c>
      <c r="B4" s="23">
        <v>152</v>
      </c>
      <c r="C4" s="23">
        <v>52</v>
      </c>
      <c r="D4" s="23">
        <v>110</v>
      </c>
      <c r="E4" s="23"/>
      <c r="F4" s="21"/>
      <c r="G4" s="84" t="s">
        <v>403</v>
      </c>
      <c r="H4" s="112">
        <v>85</v>
      </c>
      <c r="I4" s="84"/>
    </row>
    <row r="5" spans="1:9">
      <c r="A5" s="84" t="s">
        <v>404</v>
      </c>
      <c r="B5" s="23">
        <v>52</v>
      </c>
      <c r="C5" s="23">
        <v>101</v>
      </c>
      <c r="D5" s="23">
        <v>89</v>
      </c>
      <c r="E5" s="23"/>
      <c r="F5" s="21"/>
      <c r="G5" s="84" t="s">
        <v>405</v>
      </c>
      <c r="H5" s="113">
        <v>63</v>
      </c>
      <c r="I5" s="84"/>
    </row>
    <row r="6" spans="1:9">
      <c r="A6" s="84" t="s">
        <v>406</v>
      </c>
      <c r="B6" s="23">
        <v>100</v>
      </c>
      <c r="C6" s="23">
        <v>98</v>
      </c>
      <c r="D6" s="23">
        <v>101</v>
      </c>
      <c r="E6" s="23"/>
      <c r="F6" s="21"/>
      <c r="G6" s="84" t="s">
        <v>407</v>
      </c>
      <c r="H6" s="113">
        <v>45</v>
      </c>
      <c r="I6" s="84"/>
    </row>
    <row r="7" spans="1:9">
      <c r="A7" s="84" t="s">
        <v>408</v>
      </c>
      <c r="B7" s="23">
        <v>75</v>
      </c>
      <c r="C7" s="23">
        <v>200</v>
      </c>
      <c r="D7" s="23">
        <v>36</v>
      </c>
      <c r="E7" s="23"/>
      <c r="F7" s="21"/>
      <c r="G7" s="84" t="s">
        <v>409</v>
      </c>
      <c r="H7" s="112">
        <v>64</v>
      </c>
      <c r="I7" s="84"/>
    </row>
    <row r="8" spans="1:9">
      <c r="A8" s="21"/>
      <c r="B8" s="21"/>
      <c r="C8" s="21"/>
      <c r="D8" s="21"/>
      <c r="E8" s="21"/>
      <c r="F8" s="21"/>
      <c r="G8" s="84" t="s">
        <v>410</v>
      </c>
      <c r="H8" s="112">
        <v>50</v>
      </c>
      <c r="I8" s="84"/>
    </row>
    <row r="9" spans="1:9">
      <c r="A9" s="2" t="s">
        <v>411</v>
      </c>
      <c r="B9" s="21" t="s">
        <v>412</v>
      </c>
      <c r="C9" s="21"/>
      <c r="D9" s="21"/>
      <c r="E9" s="21"/>
      <c r="F9" s="21"/>
      <c r="G9" s="84" t="s">
        <v>413</v>
      </c>
      <c r="H9" s="112">
        <v>46</v>
      </c>
      <c r="I9" s="84"/>
    </row>
    <row r="10" spans="1:9">
      <c r="A10" s="69" t="s">
        <v>414</v>
      </c>
      <c r="B10" s="84" t="s">
        <v>415</v>
      </c>
      <c r="C10" s="69" t="s">
        <v>416</v>
      </c>
      <c r="D10" s="21"/>
      <c r="E10" s="21"/>
      <c r="F10" s="21"/>
      <c r="G10" s="84" t="s">
        <v>417</v>
      </c>
      <c r="H10" s="112">
        <v>78</v>
      </c>
      <c r="I10" s="84"/>
    </row>
    <row r="11" spans="1:9">
      <c r="A11" s="69" t="s">
        <v>418</v>
      </c>
      <c r="B11" s="84" t="s">
        <v>419</v>
      </c>
      <c r="C11" s="114">
        <v>36483516</v>
      </c>
      <c r="D11" s="21"/>
      <c r="E11" s="21"/>
      <c r="F11" s="21"/>
      <c r="G11" s="21"/>
      <c r="H11" s="21"/>
      <c r="I11" s="21"/>
    </row>
    <row r="12" spans="1:9">
      <c r="A12" s="69" t="s">
        <v>420</v>
      </c>
      <c r="B12" s="84" t="s">
        <v>421</v>
      </c>
      <c r="C12" s="114">
        <v>12991336</v>
      </c>
      <c r="D12" s="21"/>
      <c r="E12" s="21" t="s">
        <v>422</v>
      </c>
      <c r="F12" s="21" t="s">
        <v>423</v>
      </c>
      <c r="G12" s="115"/>
      <c r="H12" s="115"/>
      <c r="I12" s="21"/>
    </row>
    <row r="13" spans="1:9">
      <c r="A13" s="69" t="s">
        <v>424</v>
      </c>
      <c r="B13" s="84" t="s">
        <v>421</v>
      </c>
      <c r="C13" s="114">
        <v>14230019</v>
      </c>
      <c r="D13" s="21"/>
      <c r="E13" s="69" t="s">
        <v>414</v>
      </c>
      <c r="F13" s="69" t="s">
        <v>425</v>
      </c>
      <c r="G13" s="69" t="s">
        <v>426</v>
      </c>
      <c r="H13" s="116" t="s">
        <v>427</v>
      </c>
      <c r="I13" s="117" t="s">
        <v>428</v>
      </c>
    </row>
    <row r="14" spans="1:9">
      <c r="A14" s="69" t="s">
        <v>429</v>
      </c>
      <c r="B14" s="84" t="s">
        <v>430</v>
      </c>
      <c r="C14" s="114">
        <v>23122065</v>
      </c>
      <c r="D14" s="21"/>
      <c r="E14" s="69" t="s">
        <v>431</v>
      </c>
      <c r="F14" s="118">
        <v>320</v>
      </c>
      <c r="G14" s="119">
        <v>341</v>
      </c>
      <c r="H14" s="119">
        <v>360</v>
      </c>
      <c r="I14" s="118"/>
    </row>
    <row r="15" spans="1:9">
      <c r="A15" s="69" t="s">
        <v>432</v>
      </c>
      <c r="B15" s="84" t="s">
        <v>433</v>
      </c>
      <c r="C15" s="114">
        <v>25390984</v>
      </c>
      <c r="D15" s="21"/>
      <c r="E15" s="69" t="s">
        <v>434</v>
      </c>
      <c r="F15" s="118">
        <v>296</v>
      </c>
      <c r="G15" s="119">
        <v>250</v>
      </c>
      <c r="H15" s="118">
        <v>270</v>
      </c>
      <c r="I15" s="118"/>
    </row>
    <row r="16" spans="1:9">
      <c r="A16" s="69" t="s">
        <v>435</v>
      </c>
      <c r="B16" s="84" t="s">
        <v>436</v>
      </c>
      <c r="C16" s="120">
        <v>20859311</v>
      </c>
      <c r="D16" s="21"/>
      <c r="E16" s="69" t="s">
        <v>437</v>
      </c>
      <c r="F16" s="118">
        <v>255</v>
      </c>
      <c r="G16" s="119">
        <v>310</v>
      </c>
      <c r="H16" s="118">
        <v>322</v>
      </c>
      <c r="I16" s="118"/>
    </row>
    <row r="17" spans="1:9">
      <c r="A17" s="69" t="s">
        <v>438</v>
      </c>
      <c r="B17" s="84" t="s">
        <v>439</v>
      </c>
      <c r="C17" s="121">
        <v>78945600</v>
      </c>
      <c r="D17" s="21"/>
      <c r="E17" s="69" t="s">
        <v>440</v>
      </c>
      <c r="F17" s="118">
        <v>361</v>
      </c>
      <c r="G17" s="119">
        <v>308</v>
      </c>
      <c r="H17" s="118">
        <v>375</v>
      </c>
      <c r="I17" s="118"/>
    </row>
    <row r="18" spans="1:9">
      <c r="A18" s="21"/>
      <c r="B18" s="21"/>
      <c r="C18" s="21"/>
      <c r="D18" s="21"/>
      <c r="E18" s="69" t="s">
        <v>441</v>
      </c>
      <c r="F18" s="118">
        <v>291</v>
      </c>
      <c r="G18" s="119">
        <v>342</v>
      </c>
      <c r="H18" s="118">
        <v>332</v>
      </c>
      <c r="I18" s="118"/>
    </row>
    <row r="19" spans="1:9">
      <c r="A19" s="185" t="s">
        <v>442</v>
      </c>
      <c r="B19" s="185"/>
      <c r="C19" s="123"/>
      <c r="D19" s="21"/>
      <c r="E19" s="69" t="s">
        <v>443</v>
      </c>
      <c r="F19" s="118">
        <v>308</v>
      </c>
      <c r="G19" s="119">
        <v>367</v>
      </c>
      <c r="H19" s="118">
        <v>367</v>
      </c>
      <c r="I19" s="118"/>
    </row>
    <row r="20" spans="1:9">
      <c r="A20" s="185" t="s">
        <v>444</v>
      </c>
      <c r="B20" s="185"/>
      <c r="C20" s="71"/>
      <c r="D20" s="21"/>
      <c r="E20" s="69" t="s">
        <v>445</v>
      </c>
      <c r="F20" s="118">
        <v>321</v>
      </c>
      <c r="G20" s="119">
        <v>268</v>
      </c>
      <c r="H20" s="118">
        <v>297</v>
      </c>
      <c r="I20" s="118"/>
    </row>
    <row r="21" spans="1:9">
      <c r="A21" s="21"/>
      <c r="B21" s="21"/>
      <c r="C21" s="21"/>
      <c r="D21" s="21"/>
      <c r="E21" s="21"/>
      <c r="F21" s="21"/>
      <c r="G21" s="21"/>
      <c r="H21" s="21"/>
      <c r="I21" s="21"/>
    </row>
    <row r="22" spans="1:9">
      <c r="A22" s="1" t="s">
        <v>446</v>
      </c>
      <c r="B22" s="1" t="s">
        <v>447</v>
      </c>
      <c r="C22" s="1"/>
      <c r="D22" s="1"/>
      <c r="E22" s="21"/>
      <c r="F22" s="21"/>
      <c r="G22" s="21"/>
      <c r="H22" s="21"/>
      <c r="I22" s="21"/>
    </row>
    <row r="23" spans="1:9">
      <c r="A23" s="5" t="s">
        <v>448</v>
      </c>
      <c r="B23" s="5" t="s">
        <v>449</v>
      </c>
      <c r="C23" s="5" t="s">
        <v>450</v>
      </c>
      <c r="D23" s="5" t="s">
        <v>451</v>
      </c>
      <c r="E23" s="21"/>
      <c r="F23" s="21"/>
      <c r="G23" s="21"/>
      <c r="H23" s="21"/>
      <c r="I23" s="21"/>
    </row>
    <row r="24" spans="1:9">
      <c r="A24" s="5" t="s">
        <v>452</v>
      </c>
      <c r="B24" s="107">
        <v>87</v>
      </c>
      <c r="C24" s="107">
        <v>56</v>
      </c>
      <c r="D24" s="107">
        <v>78</v>
      </c>
      <c r="E24" s="21"/>
      <c r="F24" s="21"/>
      <c r="G24" s="21"/>
      <c r="H24" s="21"/>
      <c r="I24" s="21"/>
    </row>
    <row r="25" spans="1:9">
      <c r="A25" s="5" t="s">
        <v>453</v>
      </c>
      <c r="B25" s="107">
        <v>98</v>
      </c>
      <c r="C25" s="107">
        <v>87</v>
      </c>
      <c r="D25" s="107">
        <v>78</v>
      </c>
      <c r="E25" s="21"/>
      <c r="F25" s="21"/>
      <c r="G25" s="21"/>
      <c r="H25" s="21"/>
      <c r="I25" s="21"/>
    </row>
    <row r="26" spans="1:9">
      <c r="A26" s="5" t="s">
        <v>454</v>
      </c>
      <c r="B26" s="107">
        <v>45</v>
      </c>
      <c r="C26" s="107">
        <v>67</v>
      </c>
      <c r="D26" s="107">
        <v>89</v>
      </c>
      <c r="E26" s="21"/>
      <c r="F26" s="21"/>
      <c r="G26" s="21"/>
      <c r="H26" s="21"/>
      <c r="I26" s="21"/>
    </row>
    <row r="27" spans="1:9">
      <c r="A27" s="5" t="s">
        <v>455</v>
      </c>
      <c r="B27" s="107">
        <v>34</v>
      </c>
      <c r="C27" s="107">
        <v>99</v>
      </c>
      <c r="D27" s="107">
        <v>86</v>
      </c>
      <c r="E27" s="21"/>
      <c r="F27" s="21"/>
      <c r="G27" s="21"/>
      <c r="H27" s="21"/>
      <c r="I27" s="21"/>
    </row>
    <row r="28" spans="1:9">
      <c r="A28" s="5" t="s">
        <v>456</v>
      </c>
      <c r="B28" s="107">
        <v>90</v>
      </c>
      <c r="C28" s="107">
        <v>87</v>
      </c>
      <c r="D28" s="107">
        <v>88</v>
      </c>
      <c r="E28" s="21"/>
      <c r="F28" s="21"/>
      <c r="G28" s="21"/>
      <c r="H28" s="21"/>
      <c r="I28" s="21"/>
    </row>
    <row r="29" spans="1:9">
      <c r="A29" s="8" t="s">
        <v>457</v>
      </c>
      <c r="B29" s="107">
        <v>93</v>
      </c>
      <c r="C29" s="107">
        <v>54</v>
      </c>
      <c r="D29" s="107">
        <v>90</v>
      </c>
      <c r="E29" s="21"/>
      <c r="F29" s="21"/>
      <c r="G29" s="21"/>
      <c r="H29" s="21"/>
      <c r="I29" s="21"/>
    </row>
    <row r="30" spans="1:9">
      <c r="A30" s="6" t="s">
        <v>458</v>
      </c>
      <c r="B30" s="108"/>
      <c r="C30" s="108"/>
      <c r="D30" s="108"/>
      <c r="E30" s="21"/>
      <c r="F30" s="21"/>
      <c r="G30" s="21"/>
      <c r="H30" s="21"/>
      <c r="I30" s="21"/>
    </row>
    <row r="31" spans="1:9">
      <c r="A31" s="6" t="s">
        <v>459</v>
      </c>
      <c r="B31" s="124"/>
      <c r="C31" s="124"/>
      <c r="D31" s="124"/>
      <c r="E31" s="21"/>
      <c r="F31" s="21"/>
      <c r="G31" s="21"/>
      <c r="H31" s="21"/>
      <c r="I31" s="21"/>
    </row>
  </sheetData>
  <mergeCells count="2">
    <mergeCell ref="A19:B19"/>
    <mergeCell ref="A20:B20"/>
  </mergeCells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1"/>
  <sheetViews>
    <sheetView workbookViewId="0"/>
  </sheetViews>
  <sheetFormatPr defaultRowHeight="16.5"/>
  <cols>
    <col min="2" max="2" width="9.125" bestFit="1" customWidth="1"/>
    <col min="3" max="3" width="11.875" bestFit="1" customWidth="1"/>
    <col min="4" max="4" width="11" bestFit="1" customWidth="1"/>
    <col min="5" max="8" width="9.125" bestFit="1" customWidth="1"/>
    <col min="9" max="9" width="11" bestFit="1" customWidth="1"/>
  </cols>
  <sheetData>
    <row r="1" spans="1:9">
      <c r="A1" s="21" t="s">
        <v>2</v>
      </c>
      <c r="B1" s="21" t="s">
        <v>391</v>
      </c>
      <c r="C1" s="21"/>
      <c r="D1" s="21"/>
      <c r="E1" s="21"/>
      <c r="F1" s="21"/>
      <c r="G1" s="109" t="s">
        <v>3</v>
      </c>
      <c r="H1" s="2" t="s">
        <v>392</v>
      </c>
      <c r="I1" s="21"/>
    </row>
    <row r="2" spans="1:9">
      <c r="A2" s="84" t="s">
        <v>393</v>
      </c>
      <c r="B2" s="84" t="s">
        <v>29</v>
      </c>
      <c r="C2" s="84" t="s">
        <v>394</v>
      </c>
      <c r="D2" s="84" t="s">
        <v>395</v>
      </c>
      <c r="E2" s="50" t="s">
        <v>396</v>
      </c>
      <c r="F2" s="21"/>
      <c r="G2" s="110" t="s">
        <v>397</v>
      </c>
      <c r="H2" s="111" t="s">
        <v>398</v>
      </c>
      <c r="I2" s="50" t="s">
        <v>399</v>
      </c>
    </row>
    <row r="3" spans="1:9">
      <c r="A3" s="84" t="s">
        <v>400</v>
      </c>
      <c r="B3" s="23">
        <v>108</v>
      </c>
      <c r="C3" s="23">
        <v>150</v>
      </c>
      <c r="D3" s="23">
        <v>97</v>
      </c>
      <c r="E3" s="23">
        <f>ROUND(AVERAGE(B3:D3),1)</f>
        <v>118.3</v>
      </c>
      <c r="F3" s="21"/>
      <c r="G3" s="84" t="s">
        <v>401</v>
      </c>
      <c r="H3" s="112">
        <v>77</v>
      </c>
      <c r="I3" s="84" t="str">
        <f>RANK(H3,$H$3:$H$10)&amp;"등"</f>
        <v>3등</v>
      </c>
    </row>
    <row r="4" spans="1:9">
      <c r="A4" s="84" t="s">
        <v>402</v>
      </c>
      <c r="B4" s="23">
        <v>152</v>
      </c>
      <c r="C4" s="23">
        <v>52</v>
      </c>
      <c r="D4" s="23">
        <v>110</v>
      </c>
      <c r="E4" s="23">
        <f>ROUND(AVERAGE(B4:D4),1)</f>
        <v>104.7</v>
      </c>
      <c r="F4" s="21"/>
      <c r="G4" s="84" t="s">
        <v>403</v>
      </c>
      <c r="H4" s="112">
        <v>85</v>
      </c>
      <c r="I4" s="84" t="str">
        <f t="shared" ref="I4:I10" si="0">RANK(H4,$H$3:$H$10)&amp;"등"</f>
        <v>1등</v>
      </c>
    </row>
    <row r="5" spans="1:9">
      <c r="A5" s="84" t="s">
        <v>404</v>
      </c>
      <c r="B5" s="23">
        <v>52</v>
      </c>
      <c r="C5" s="23">
        <v>101</v>
      </c>
      <c r="D5" s="23">
        <v>89</v>
      </c>
      <c r="E5" s="23">
        <f>ROUND(AVERAGE(B5:D5),1)</f>
        <v>80.7</v>
      </c>
      <c r="F5" s="21"/>
      <c r="G5" s="84" t="s">
        <v>405</v>
      </c>
      <c r="H5" s="113">
        <v>63</v>
      </c>
      <c r="I5" s="84" t="str">
        <f t="shared" si="0"/>
        <v>5등</v>
      </c>
    </row>
    <row r="6" spans="1:9">
      <c r="A6" s="84" t="s">
        <v>406</v>
      </c>
      <c r="B6" s="23">
        <v>100</v>
      </c>
      <c r="C6" s="23">
        <v>98</v>
      </c>
      <c r="D6" s="23">
        <v>101</v>
      </c>
      <c r="E6" s="23">
        <f>ROUND(AVERAGE(B6:D6),1)</f>
        <v>99.7</v>
      </c>
      <c r="F6" s="21"/>
      <c r="G6" s="84" t="s">
        <v>407</v>
      </c>
      <c r="H6" s="113">
        <v>45</v>
      </c>
      <c r="I6" s="84" t="str">
        <f t="shared" si="0"/>
        <v>8등</v>
      </c>
    </row>
    <row r="7" spans="1:9">
      <c r="A7" s="84" t="s">
        <v>408</v>
      </c>
      <c r="B7" s="23">
        <v>75</v>
      </c>
      <c r="C7" s="23">
        <v>200</v>
      </c>
      <c r="D7" s="23">
        <v>36</v>
      </c>
      <c r="E7" s="23">
        <f>ROUND(AVERAGE(B7:D7),1)</f>
        <v>103.7</v>
      </c>
      <c r="F7" s="21"/>
      <c r="G7" s="84" t="s">
        <v>409</v>
      </c>
      <c r="H7" s="112">
        <v>64</v>
      </c>
      <c r="I7" s="84" t="str">
        <f t="shared" si="0"/>
        <v>4등</v>
      </c>
    </row>
    <row r="8" spans="1:9">
      <c r="A8" s="21"/>
      <c r="B8" s="21"/>
      <c r="C8" s="21"/>
      <c r="D8" s="21"/>
      <c r="E8" s="21"/>
      <c r="F8" s="21"/>
      <c r="G8" s="84" t="s">
        <v>410</v>
      </c>
      <c r="H8" s="112">
        <v>50</v>
      </c>
      <c r="I8" s="84" t="str">
        <f t="shared" si="0"/>
        <v>6등</v>
      </c>
    </row>
    <row r="9" spans="1:9">
      <c r="A9" s="2" t="s">
        <v>411</v>
      </c>
      <c r="B9" s="21" t="s">
        <v>412</v>
      </c>
      <c r="C9" s="21"/>
      <c r="D9" s="21"/>
      <c r="E9" s="21"/>
      <c r="F9" s="21"/>
      <c r="G9" s="84" t="s">
        <v>413</v>
      </c>
      <c r="H9" s="112">
        <v>46</v>
      </c>
      <c r="I9" s="84" t="str">
        <f t="shared" si="0"/>
        <v>7등</v>
      </c>
    </row>
    <row r="10" spans="1:9">
      <c r="A10" s="69" t="s">
        <v>414</v>
      </c>
      <c r="B10" s="84" t="s">
        <v>415</v>
      </c>
      <c r="C10" s="69" t="s">
        <v>416</v>
      </c>
      <c r="D10" s="21"/>
      <c r="E10" s="21"/>
      <c r="F10" s="21"/>
      <c r="G10" s="84" t="s">
        <v>417</v>
      </c>
      <c r="H10" s="112">
        <v>78</v>
      </c>
      <c r="I10" s="84" t="str">
        <f t="shared" si="0"/>
        <v>2등</v>
      </c>
    </row>
    <row r="11" spans="1:9">
      <c r="A11" s="69" t="s">
        <v>418</v>
      </c>
      <c r="B11" s="84" t="s">
        <v>419</v>
      </c>
      <c r="C11" s="114">
        <v>36483516</v>
      </c>
      <c r="D11" s="21"/>
      <c r="E11" s="21"/>
      <c r="F11" s="21"/>
      <c r="G11" s="21"/>
      <c r="H11" s="21"/>
      <c r="I11" s="21"/>
    </row>
    <row r="12" spans="1:9">
      <c r="A12" s="69" t="s">
        <v>420</v>
      </c>
      <c r="B12" s="84" t="s">
        <v>421</v>
      </c>
      <c r="C12" s="114">
        <v>12991336</v>
      </c>
      <c r="D12" s="21"/>
      <c r="E12" s="21" t="s">
        <v>422</v>
      </c>
      <c r="F12" s="21" t="s">
        <v>423</v>
      </c>
      <c r="G12" s="115"/>
      <c r="H12" s="115"/>
      <c r="I12" s="21"/>
    </row>
    <row r="13" spans="1:9">
      <c r="A13" s="69" t="s">
        <v>424</v>
      </c>
      <c r="B13" s="84" t="s">
        <v>421</v>
      </c>
      <c r="C13" s="114">
        <v>14230019</v>
      </c>
      <c r="D13" s="21"/>
      <c r="E13" s="69" t="s">
        <v>414</v>
      </c>
      <c r="F13" s="69" t="s">
        <v>425</v>
      </c>
      <c r="G13" s="69" t="s">
        <v>426</v>
      </c>
      <c r="H13" s="116" t="s">
        <v>427</v>
      </c>
      <c r="I13" s="117" t="s">
        <v>428</v>
      </c>
    </row>
    <row r="14" spans="1:9">
      <c r="A14" s="69" t="s">
        <v>429</v>
      </c>
      <c r="B14" s="84" t="s">
        <v>430</v>
      </c>
      <c r="C14" s="114">
        <v>23122065</v>
      </c>
      <c r="D14" s="21"/>
      <c r="E14" s="69" t="s">
        <v>431</v>
      </c>
      <c r="F14" s="118">
        <v>320</v>
      </c>
      <c r="G14" s="119">
        <v>341</v>
      </c>
      <c r="H14" s="119">
        <v>360</v>
      </c>
      <c r="I14" s="118">
        <f t="shared" ref="I14:I20" si="1">MAX(F14:H14)-MIN(F14:H14)</f>
        <v>40</v>
      </c>
    </row>
    <row r="15" spans="1:9">
      <c r="A15" s="69" t="s">
        <v>432</v>
      </c>
      <c r="B15" s="84" t="s">
        <v>433</v>
      </c>
      <c r="C15" s="114">
        <v>25390984</v>
      </c>
      <c r="D15" s="21"/>
      <c r="E15" s="69" t="s">
        <v>434</v>
      </c>
      <c r="F15" s="118">
        <v>296</v>
      </c>
      <c r="G15" s="119">
        <v>250</v>
      </c>
      <c r="H15" s="118">
        <v>270</v>
      </c>
      <c r="I15" s="118">
        <f t="shared" si="1"/>
        <v>46</v>
      </c>
    </row>
    <row r="16" spans="1:9">
      <c r="A16" s="69" t="s">
        <v>435</v>
      </c>
      <c r="B16" s="84" t="s">
        <v>436</v>
      </c>
      <c r="C16" s="120">
        <v>20859311</v>
      </c>
      <c r="D16" s="21"/>
      <c r="E16" s="69" t="s">
        <v>437</v>
      </c>
      <c r="F16" s="118">
        <v>255</v>
      </c>
      <c r="G16" s="119">
        <v>310</v>
      </c>
      <c r="H16" s="118">
        <v>322</v>
      </c>
      <c r="I16" s="118">
        <f t="shared" si="1"/>
        <v>67</v>
      </c>
    </row>
    <row r="17" spans="1:9">
      <c r="A17" s="69" t="s">
        <v>438</v>
      </c>
      <c r="B17" s="84" t="s">
        <v>439</v>
      </c>
      <c r="C17" s="121">
        <v>78945600</v>
      </c>
      <c r="D17" s="21"/>
      <c r="E17" s="69" t="s">
        <v>440</v>
      </c>
      <c r="F17" s="118">
        <v>361</v>
      </c>
      <c r="G17" s="119">
        <v>308</v>
      </c>
      <c r="H17" s="118">
        <v>375</v>
      </c>
      <c r="I17" s="118">
        <f t="shared" si="1"/>
        <v>67</v>
      </c>
    </row>
    <row r="18" spans="1:9">
      <c r="A18" s="21"/>
      <c r="B18" s="21"/>
      <c r="C18" s="21"/>
      <c r="D18" s="21"/>
      <c r="E18" s="69" t="s">
        <v>441</v>
      </c>
      <c r="F18" s="118">
        <v>291</v>
      </c>
      <c r="G18" s="119">
        <v>342</v>
      </c>
      <c r="H18" s="118">
        <v>332</v>
      </c>
      <c r="I18" s="118">
        <f t="shared" si="1"/>
        <v>51</v>
      </c>
    </row>
    <row r="19" spans="1:9">
      <c r="A19" s="185" t="s">
        <v>442</v>
      </c>
      <c r="B19" s="185"/>
      <c r="C19" s="123">
        <f>LARGE(C11:C17,2)</f>
        <v>36483516</v>
      </c>
      <c r="D19" s="21"/>
      <c r="E19" s="69" t="s">
        <v>443</v>
      </c>
      <c r="F19" s="118">
        <v>308</v>
      </c>
      <c r="G19" s="119">
        <v>367</v>
      </c>
      <c r="H19" s="118">
        <v>367</v>
      </c>
      <c r="I19" s="118">
        <f t="shared" si="1"/>
        <v>59</v>
      </c>
    </row>
    <row r="20" spans="1:9">
      <c r="A20" s="185" t="s">
        <v>444</v>
      </c>
      <c r="B20" s="185"/>
      <c r="C20" s="71">
        <f>SMALL(C11:C17,2)</f>
        <v>14230019</v>
      </c>
      <c r="D20" s="21"/>
      <c r="E20" s="69" t="s">
        <v>445</v>
      </c>
      <c r="F20" s="118">
        <v>321</v>
      </c>
      <c r="G20" s="119">
        <v>268</v>
      </c>
      <c r="H20" s="118">
        <v>297</v>
      </c>
      <c r="I20" s="118">
        <f t="shared" si="1"/>
        <v>53</v>
      </c>
    </row>
    <row r="21" spans="1:9">
      <c r="A21" s="21"/>
      <c r="B21" s="21"/>
      <c r="C21" s="21"/>
      <c r="D21" s="21"/>
      <c r="E21" s="21"/>
      <c r="F21" s="21"/>
      <c r="G21" s="21"/>
      <c r="H21" s="21"/>
      <c r="I21" s="21"/>
    </row>
    <row r="22" spans="1:9">
      <c r="A22" s="1" t="s">
        <v>446</v>
      </c>
      <c r="B22" s="1" t="s">
        <v>447</v>
      </c>
      <c r="C22" s="1"/>
      <c r="D22" s="1"/>
      <c r="E22" s="21"/>
      <c r="F22" s="21"/>
      <c r="G22" s="21"/>
      <c r="H22" s="21"/>
      <c r="I22" s="21"/>
    </row>
    <row r="23" spans="1:9">
      <c r="A23" s="5" t="s">
        <v>448</v>
      </c>
      <c r="B23" s="5" t="s">
        <v>449</v>
      </c>
      <c r="C23" s="5" t="s">
        <v>450</v>
      </c>
      <c r="D23" s="5" t="s">
        <v>451</v>
      </c>
      <c r="E23" s="21"/>
      <c r="F23" s="21"/>
      <c r="G23" s="21"/>
      <c r="H23" s="21"/>
      <c r="I23" s="21"/>
    </row>
    <row r="24" spans="1:9">
      <c r="A24" s="5" t="s">
        <v>452</v>
      </c>
      <c r="B24" s="107">
        <v>87</v>
      </c>
      <c r="C24" s="107">
        <v>56</v>
      </c>
      <c r="D24" s="107">
        <v>78</v>
      </c>
      <c r="E24" s="21"/>
      <c r="F24" s="21"/>
      <c r="G24" s="21"/>
      <c r="H24" s="21"/>
      <c r="I24" s="21"/>
    </row>
    <row r="25" spans="1:9">
      <c r="A25" s="5" t="s">
        <v>453</v>
      </c>
      <c r="B25" s="107">
        <v>98</v>
      </c>
      <c r="C25" s="107">
        <v>87</v>
      </c>
      <c r="D25" s="107">
        <v>78</v>
      </c>
      <c r="E25" s="21"/>
      <c r="F25" s="21"/>
      <c r="G25" s="21"/>
      <c r="H25" s="21"/>
      <c r="I25" s="21"/>
    </row>
    <row r="26" spans="1:9">
      <c r="A26" s="5" t="s">
        <v>454</v>
      </c>
      <c r="B26" s="107">
        <v>45</v>
      </c>
      <c r="C26" s="107">
        <v>67</v>
      </c>
      <c r="D26" s="107">
        <v>89</v>
      </c>
      <c r="E26" s="21"/>
      <c r="F26" s="21"/>
      <c r="G26" s="21"/>
      <c r="H26" s="21"/>
      <c r="I26" s="21"/>
    </row>
    <row r="27" spans="1:9">
      <c r="A27" s="5" t="s">
        <v>455</v>
      </c>
      <c r="B27" s="107">
        <v>34</v>
      </c>
      <c r="C27" s="107">
        <v>99</v>
      </c>
      <c r="D27" s="107">
        <v>86</v>
      </c>
      <c r="E27" s="21"/>
      <c r="F27" s="21"/>
      <c r="G27" s="21"/>
      <c r="H27" s="21"/>
      <c r="I27" s="21"/>
    </row>
    <row r="28" spans="1:9">
      <c r="A28" s="5" t="s">
        <v>456</v>
      </c>
      <c r="B28" s="107">
        <v>90</v>
      </c>
      <c r="C28" s="107">
        <v>87</v>
      </c>
      <c r="D28" s="107">
        <v>88</v>
      </c>
      <c r="E28" s="21"/>
      <c r="F28" s="21"/>
      <c r="G28" s="21"/>
      <c r="H28" s="21"/>
      <c r="I28" s="21"/>
    </row>
    <row r="29" spans="1:9">
      <c r="A29" s="8" t="s">
        <v>457</v>
      </c>
      <c r="B29" s="107">
        <v>93</v>
      </c>
      <c r="C29" s="107">
        <v>54</v>
      </c>
      <c r="D29" s="107">
        <v>90</v>
      </c>
      <c r="E29" s="21"/>
      <c r="F29" s="21"/>
      <c r="G29" s="21"/>
      <c r="H29" s="21"/>
      <c r="I29" s="21"/>
    </row>
    <row r="30" spans="1:9">
      <c r="A30" s="6" t="s">
        <v>458</v>
      </c>
      <c r="B30" s="108">
        <f>STDEV(B24:B29)</f>
        <v>27.573538039214334</v>
      </c>
      <c r="C30" s="108">
        <f>STDEV(C24:C29)</f>
        <v>18.601075237738275</v>
      </c>
      <c r="D30" s="108">
        <f>STDEV(D24:D29)</f>
        <v>5.4558836742242471</v>
      </c>
      <c r="E30" s="21"/>
      <c r="F30" s="21"/>
      <c r="G30" s="21"/>
      <c r="H30" s="21"/>
      <c r="I30" s="21"/>
    </row>
    <row r="31" spans="1:9">
      <c r="A31" s="6" t="s">
        <v>459</v>
      </c>
      <c r="B31" s="124">
        <f>VAR(B24:B29)</f>
        <v>760.3</v>
      </c>
      <c r="C31" s="124">
        <f>VAR(C24:C29)</f>
        <v>346</v>
      </c>
      <c r="D31" s="124">
        <f>VAR(D24:D29)</f>
        <v>29.766666666666669</v>
      </c>
      <c r="E31" s="21"/>
      <c r="F31" s="21"/>
      <c r="G31" s="21"/>
      <c r="H31" s="21"/>
      <c r="I31" s="21"/>
    </row>
  </sheetData>
  <mergeCells count="2">
    <mergeCell ref="A19:B19"/>
    <mergeCell ref="A20:B20"/>
  </mergeCells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3"/>
  <sheetViews>
    <sheetView topLeftCell="A16" workbookViewId="0">
      <selection activeCell="N34" sqref="N34"/>
    </sheetView>
  </sheetViews>
  <sheetFormatPr defaultRowHeight="16.5"/>
  <cols>
    <col min="2" max="3" width="9.125" bestFit="1" customWidth="1"/>
    <col min="4" max="4" width="11.625" bestFit="1" customWidth="1"/>
    <col min="6" max="6" width="9.125" bestFit="1" customWidth="1"/>
    <col min="7" max="7" width="11.125" bestFit="1" customWidth="1"/>
    <col min="8" max="11" width="9.125" bestFit="1" customWidth="1"/>
  </cols>
  <sheetData>
    <row r="1" spans="1:11">
      <c r="A1" s="125" t="s">
        <v>460</v>
      </c>
      <c r="B1" s="126"/>
      <c r="C1" s="127"/>
      <c r="D1" s="128"/>
      <c r="E1" s="129"/>
      <c r="F1" s="130"/>
      <c r="G1" s="131" t="s">
        <v>461</v>
      </c>
      <c r="H1" s="129"/>
      <c r="I1" s="129"/>
      <c r="J1" s="129"/>
      <c r="K1" s="129"/>
    </row>
    <row r="2" spans="1:11">
      <c r="A2" s="128"/>
      <c r="B2" s="128"/>
      <c r="C2" s="128"/>
      <c r="D2" s="128"/>
      <c r="E2" s="129"/>
      <c r="F2" s="132" t="s">
        <v>448</v>
      </c>
      <c r="G2" s="132" t="s">
        <v>462</v>
      </c>
      <c r="H2" s="132" t="s">
        <v>463</v>
      </c>
      <c r="I2" s="129"/>
      <c r="J2" s="129"/>
      <c r="K2" s="129"/>
    </row>
    <row r="3" spans="1:11">
      <c r="A3" s="133" t="s">
        <v>464</v>
      </c>
      <c r="B3" s="133" t="s">
        <v>465</v>
      </c>
      <c r="C3" s="128"/>
      <c r="D3" s="134" t="s">
        <v>466</v>
      </c>
      <c r="E3" s="129"/>
      <c r="F3" s="132" t="s">
        <v>467</v>
      </c>
      <c r="G3" s="135">
        <v>34491</v>
      </c>
      <c r="H3" s="132">
        <v>73</v>
      </c>
      <c r="I3" s="129"/>
      <c r="J3" s="129"/>
      <c r="K3" s="129"/>
    </row>
    <row r="4" spans="1:11">
      <c r="A4" s="133" t="s">
        <v>468</v>
      </c>
      <c r="B4" s="133">
        <v>90</v>
      </c>
      <c r="C4" s="128"/>
      <c r="D4" s="133"/>
      <c r="E4" s="129"/>
      <c r="F4" s="132" t="s">
        <v>469</v>
      </c>
      <c r="G4" s="135">
        <v>35521</v>
      </c>
      <c r="H4" s="132">
        <v>68</v>
      </c>
      <c r="I4" s="186" t="s">
        <v>470</v>
      </c>
      <c r="J4" s="186"/>
      <c r="K4" s="129"/>
    </row>
    <row r="5" spans="1:11">
      <c r="A5" s="133" t="s">
        <v>471</v>
      </c>
      <c r="B5" s="133">
        <v>100</v>
      </c>
      <c r="C5" s="127"/>
      <c r="D5" s="128"/>
      <c r="E5" s="129"/>
      <c r="F5" s="132" t="s">
        <v>472</v>
      </c>
      <c r="G5" s="135">
        <v>36286</v>
      </c>
      <c r="H5" s="132">
        <v>98</v>
      </c>
      <c r="I5" s="187"/>
      <c r="J5" s="187"/>
      <c r="K5" s="129"/>
    </row>
    <row r="6" spans="1:11">
      <c r="A6" s="133" t="s">
        <v>473</v>
      </c>
      <c r="B6" s="133">
        <v>85</v>
      </c>
      <c r="C6" s="127"/>
      <c r="D6" s="128"/>
      <c r="E6" s="129"/>
      <c r="F6" s="132" t="s">
        <v>474</v>
      </c>
      <c r="G6" s="135">
        <v>35004</v>
      </c>
      <c r="H6" s="132">
        <v>65</v>
      </c>
      <c r="I6" s="129"/>
      <c r="J6" s="129"/>
      <c r="K6" s="129"/>
    </row>
    <row r="7" spans="1:11">
      <c r="A7" s="133" t="s">
        <v>475</v>
      </c>
      <c r="B7" s="133">
        <v>70</v>
      </c>
      <c r="C7" s="127"/>
      <c r="D7" s="128"/>
      <c r="E7" s="129"/>
      <c r="F7" s="132" t="s">
        <v>476</v>
      </c>
      <c r="G7" s="135">
        <v>35796</v>
      </c>
      <c r="H7" s="132">
        <v>69</v>
      </c>
      <c r="I7" s="129"/>
      <c r="J7" s="129"/>
      <c r="K7" s="129"/>
    </row>
    <row r="8" spans="1:11">
      <c r="A8" s="133" t="s">
        <v>477</v>
      </c>
      <c r="B8" s="133">
        <v>95</v>
      </c>
      <c r="C8" s="127"/>
      <c r="D8" s="136"/>
      <c r="E8" s="129"/>
      <c r="F8" s="132" t="s">
        <v>478</v>
      </c>
      <c r="G8" s="135">
        <v>35956</v>
      </c>
      <c r="H8" s="132">
        <v>80</v>
      </c>
      <c r="I8" s="129"/>
      <c r="J8" s="129"/>
      <c r="K8" s="129"/>
    </row>
    <row r="9" spans="1:11">
      <c r="A9" s="133" t="s">
        <v>479</v>
      </c>
      <c r="B9" s="133">
        <v>65</v>
      </c>
      <c r="C9" s="127"/>
      <c r="D9" s="128"/>
      <c r="E9" s="129"/>
      <c r="F9" s="132" t="s">
        <v>480</v>
      </c>
      <c r="G9" s="135">
        <v>35684</v>
      </c>
      <c r="H9" s="132">
        <v>86</v>
      </c>
      <c r="I9" s="129"/>
      <c r="J9" s="129"/>
      <c r="K9" s="129"/>
    </row>
    <row r="10" spans="1:11">
      <c r="A10" s="133" t="s">
        <v>481</v>
      </c>
      <c r="B10" s="133">
        <v>80</v>
      </c>
      <c r="C10" s="127"/>
      <c r="D10" s="128"/>
      <c r="E10" s="129"/>
      <c r="F10" s="132" t="s">
        <v>482</v>
      </c>
      <c r="G10" s="135">
        <v>35226</v>
      </c>
      <c r="H10" s="132">
        <v>70</v>
      </c>
      <c r="I10" s="129"/>
      <c r="J10" s="129"/>
      <c r="K10" s="129"/>
    </row>
    <row r="11" spans="1:11">
      <c r="A11" s="129"/>
      <c r="B11" s="129"/>
      <c r="C11" s="129"/>
      <c r="D11" s="129"/>
      <c r="E11" s="129"/>
      <c r="F11" s="137" t="s">
        <v>483</v>
      </c>
      <c r="G11" s="135">
        <v>35921</v>
      </c>
      <c r="H11" s="137">
        <v>68</v>
      </c>
      <c r="I11" s="129"/>
      <c r="J11" s="129"/>
      <c r="K11" s="129"/>
    </row>
    <row r="12" spans="1:11">
      <c r="A12" s="129"/>
      <c r="B12" s="129"/>
      <c r="C12" s="129"/>
      <c r="D12" s="129"/>
      <c r="E12" s="129"/>
      <c r="F12" s="129"/>
      <c r="G12" s="129"/>
      <c r="H12" s="129"/>
      <c r="I12" s="129"/>
      <c r="J12" s="129"/>
      <c r="K12" s="129"/>
    </row>
    <row r="13" spans="1:11">
      <c r="A13" s="138"/>
      <c r="B13" s="139"/>
      <c r="C13" s="140" t="s">
        <v>484</v>
      </c>
      <c r="D13" s="141"/>
      <c r="E13" s="129"/>
      <c r="F13" s="142"/>
      <c r="G13" s="188" t="s">
        <v>485</v>
      </c>
      <c r="H13" s="188"/>
      <c r="I13" s="188"/>
      <c r="J13" s="188"/>
      <c r="K13" s="188"/>
    </row>
    <row r="14" spans="1:11">
      <c r="A14" s="132" t="s">
        <v>448</v>
      </c>
      <c r="B14" s="132" t="s">
        <v>486</v>
      </c>
      <c r="C14" s="132" t="s">
        <v>487</v>
      </c>
      <c r="D14" s="132" t="s">
        <v>488</v>
      </c>
      <c r="E14" s="129"/>
      <c r="F14" s="143" t="s">
        <v>489</v>
      </c>
      <c r="G14" s="132" t="s">
        <v>448</v>
      </c>
      <c r="H14" s="132" t="s">
        <v>486</v>
      </c>
      <c r="I14" s="132" t="s">
        <v>487</v>
      </c>
      <c r="J14" s="132" t="s">
        <v>488</v>
      </c>
      <c r="K14" s="132" t="s">
        <v>490</v>
      </c>
    </row>
    <row r="15" spans="1:11">
      <c r="A15" s="132" t="s">
        <v>491</v>
      </c>
      <c r="B15" s="132" t="s">
        <v>492</v>
      </c>
      <c r="C15" s="132"/>
      <c r="D15" s="132" t="s">
        <v>492</v>
      </c>
      <c r="E15" s="129"/>
      <c r="F15" s="143">
        <v>101</v>
      </c>
      <c r="G15" s="132" t="s">
        <v>493</v>
      </c>
      <c r="H15" s="132" t="s">
        <v>494</v>
      </c>
      <c r="I15" s="132"/>
      <c r="J15" s="132" t="s">
        <v>494</v>
      </c>
      <c r="K15" s="132"/>
    </row>
    <row r="16" spans="1:11">
      <c r="A16" s="132" t="s">
        <v>495</v>
      </c>
      <c r="B16" s="132"/>
      <c r="C16" s="132" t="s">
        <v>492</v>
      </c>
      <c r="D16" s="132"/>
      <c r="E16" s="129"/>
      <c r="F16" s="143">
        <v>102</v>
      </c>
      <c r="G16" s="132" t="s">
        <v>496</v>
      </c>
      <c r="H16" s="132"/>
      <c r="I16" s="132" t="s">
        <v>494</v>
      </c>
      <c r="J16" s="132"/>
      <c r="K16" s="132"/>
    </row>
    <row r="17" spans="1:11">
      <c r="A17" s="132" t="s">
        <v>497</v>
      </c>
      <c r="B17" s="132" t="s">
        <v>492</v>
      </c>
      <c r="C17" s="132"/>
      <c r="D17" s="132" t="s">
        <v>492</v>
      </c>
      <c r="E17" s="129"/>
      <c r="F17" s="143">
        <v>103</v>
      </c>
      <c r="G17" s="132" t="s">
        <v>498</v>
      </c>
      <c r="H17" s="132" t="s">
        <v>494</v>
      </c>
      <c r="I17" s="132"/>
      <c r="J17" s="132" t="s">
        <v>494</v>
      </c>
      <c r="K17" s="132"/>
    </row>
    <row r="18" spans="1:11">
      <c r="A18" s="132" t="s">
        <v>499</v>
      </c>
      <c r="B18" s="132" t="s">
        <v>492</v>
      </c>
      <c r="C18" s="132" t="s">
        <v>492</v>
      </c>
      <c r="D18" s="132"/>
      <c r="E18" s="129"/>
      <c r="F18" s="143">
        <v>104</v>
      </c>
      <c r="G18" s="132" t="s">
        <v>500</v>
      </c>
      <c r="H18" s="132"/>
      <c r="I18" s="132" t="s">
        <v>494</v>
      </c>
      <c r="J18" s="132"/>
      <c r="K18" s="132" t="s">
        <v>494</v>
      </c>
    </row>
    <row r="19" spans="1:11">
      <c r="A19" s="132" t="s">
        <v>501</v>
      </c>
      <c r="B19" s="132"/>
      <c r="C19" s="132"/>
      <c r="D19" s="132" t="s">
        <v>492</v>
      </c>
      <c r="E19" s="129"/>
      <c r="F19" s="143">
        <v>105</v>
      </c>
      <c r="G19" s="132" t="s">
        <v>502</v>
      </c>
      <c r="H19" s="132"/>
      <c r="I19" s="132"/>
      <c r="J19" s="132" t="s">
        <v>494</v>
      </c>
      <c r="K19" s="132"/>
    </row>
    <row r="20" spans="1:11">
      <c r="A20" s="137" t="s">
        <v>503</v>
      </c>
      <c r="B20" s="132" t="s">
        <v>492</v>
      </c>
      <c r="C20" s="132" t="s">
        <v>492</v>
      </c>
      <c r="D20" s="132" t="s">
        <v>492</v>
      </c>
      <c r="E20" s="129"/>
      <c r="F20" s="143">
        <v>106</v>
      </c>
      <c r="G20" s="137" t="s">
        <v>504</v>
      </c>
      <c r="H20" s="132"/>
      <c r="I20" s="132" t="s">
        <v>494</v>
      </c>
      <c r="J20" s="132" t="s">
        <v>494</v>
      </c>
      <c r="K20" s="132"/>
    </row>
    <row r="21" spans="1:11">
      <c r="A21" s="137" t="s">
        <v>505</v>
      </c>
      <c r="B21" s="132"/>
      <c r="C21" s="132" t="s">
        <v>492</v>
      </c>
      <c r="D21" s="132" t="s">
        <v>492</v>
      </c>
      <c r="E21" s="129"/>
      <c r="F21" s="143">
        <v>107</v>
      </c>
      <c r="G21" s="137" t="s">
        <v>506</v>
      </c>
      <c r="H21" s="132" t="s">
        <v>494</v>
      </c>
      <c r="I21" s="132" t="s">
        <v>494</v>
      </c>
      <c r="J21" s="132"/>
      <c r="K21" s="132" t="s">
        <v>494</v>
      </c>
    </row>
    <row r="22" spans="1:11">
      <c r="A22" s="137" t="s">
        <v>507</v>
      </c>
      <c r="B22" s="132" t="s">
        <v>492</v>
      </c>
      <c r="C22" s="132"/>
      <c r="D22" s="132" t="s">
        <v>492</v>
      </c>
      <c r="E22" s="129"/>
      <c r="F22" s="143">
        <v>108</v>
      </c>
      <c r="G22" s="137" t="s">
        <v>508</v>
      </c>
      <c r="H22" s="132"/>
      <c r="I22" s="132"/>
      <c r="J22" s="132" t="s">
        <v>494</v>
      </c>
      <c r="K22" s="132"/>
    </row>
    <row r="23" spans="1:11">
      <c r="A23" s="144" t="s">
        <v>509</v>
      </c>
      <c r="B23" s="132"/>
      <c r="C23" s="132"/>
      <c r="D23" s="132"/>
      <c r="E23" s="129"/>
      <c r="F23" s="129"/>
      <c r="G23" s="145" t="s">
        <v>510</v>
      </c>
      <c r="H23" s="132"/>
      <c r="I23" s="132"/>
      <c r="J23" s="132"/>
      <c r="K23" s="132"/>
    </row>
  </sheetData>
  <mergeCells count="3">
    <mergeCell ref="I4:J4"/>
    <mergeCell ref="I5:J5"/>
    <mergeCell ref="G13:K13"/>
  </mergeCells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3"/>
  <sheetViews>
    <sheetView workbookViewId="0"/>
  </sheetViews>
  <sheetFormatPr defaultRowHeight="16.5"/>
  <cols>
    <col min="2" max="3" width="9.125" bestFit="1" customWidth="1"/>
    <col min="4" max="4" width="11.625" bestFit="1" customWidth="1"/>
    <col min="6" max="6" width="9.125" bestFit="1" customWidth="1"/>
    <col min="7" max="7" width="11.125" bestFit="1" customWidth="1"/>
    <col min="8" max="11" width="9.125" bestFit="1" customWidth="1"/>
  </cols>
  <sheetData>
    <row r="1" spans="1:11">
      <c r="A1" s="125" t="s">
        <v>460</v>
      </c>
      <c r="B1" s="126"/>
      <c r="C1" s="127"/>
      <c r="D1" s="128"/>
      <c r="E1" s="129"/>
      <c r="F1" s="130"/>
      <c r="G1" s="131" t="s">
        <v>461</v>
      </c>
      <c r="H1" s="129"/>
      <c r="I1" s="129"/>
      <c r="J1" s="129"/>
      <c r="K1" s="129"/>
    </row>
    <row r="2" spans="1:11">
      <c r="A2" s="128"/>
      <c r="B2" s="128"/>
      <c r="C2" s="128"/>
      <c r="D2" s="128"/>
      <c r="E2" s="129"/>
      <c r="F2" s="132" t="s">
        <v>448</v>
      </c>
      <c r="G2" s="132" t="s">
        <v>462</v>
      </c>
      <c r="H2" s="132" t="s">
        <v>463</v>
      </c>
      <c r="I2" s="129"/>
      <c r="J2" s="129"/>
      <c r="K2" s="129"/>
    </row>
    <row r="3" spans="1:11">
      <c r="A3" s="133" t="s">
        <v>464</v>
      </c>
      <c r="B3" s="133" t="s">
        <v>465</v>
      </c>
      <c r="C3" s="128"/>
      <c r="D3" s="134" t="s">
        <v>466</v>
      </c>
      <c r="E3" s="129"/>
      <c r="F3" s="132" t="s">
        <v>467</v>
      </c>
      <c r="G3" s="135">
        <v>34491</v>
      </c>
      <c r="H3" s="132">
        <v>73</v>
      </c>
      <c r="I3" s="129"/>
      <c r="J3" s="129"/>
      <c r="K3" s="129"/>
    </row>
    <row r="4" spans="1:11">
      <c r="A4" s="133" t="s">
        <v>468</v>
      </c>
      <c r="B4" s="133">
        <v>90</v>
      </c>
      <c r="C4" s="128"/>
      <c r="D4" s="133">
        <f>COUNT(B4:B10)</f>
        <v>7</v>
      </c>
      <c r="E4" s="129"/>
      <c r="F4" s="132" t="s">
        <v>469</v>
      </c>
      <c r="G4" s="135">
        <v>35521</v>
      </c>
      <c r="H4" s="132">
        <v>68</v>
      </c>
      <c r="I4" s="186" t="s">
        <v>470</v>
      </c>
      <c r="J4" s="186"/>
      <c r="K4" s="129"/>
    </row>
    <row r="5" spans="1:11">
      <c r="A5" s="133" t="s">
        <v>471</v>
      </c>
      <c r="B5" s="133">
        <v>100</v>
      </c>
      <c r="C5" s="127"/>
      <c r="D5" s="128"/>
      <c r="E5" s="129"/>
      <c r="F5" s="132" t="s">
        <v>472</v>
      </c>
      <c r="G5" s="135">
        <v>36286</v>
      </c>
      <c r="H5" s="132">
        <v>98</v>
      </c>
      <c r="I5" s="187">
        <f>COUNTIF(H3:H11,"&gt;=70")-COUNTIF(H3:H11,"&gt;=80")</f>
        <v>2</v>
      </c>
      <c r="J5" s="187"/>
      <c r="K5" s="129"/>
    </row>
    <row r="6" spans="1:11">
      <c r="A6" s="133" t="s">
        <v>473</v>
      </c>
      <c r="B6" s="133">
        <v>85</v>
      </c>
      <c r="C6" s="127"/>
      <c r="D6" s="128"/>
      <c r="E6" s="129"/>
      <c r="F6" s="132" t="s">
        <v>474</v>
      </c>
      <c r="G6" s="135">
        <v>35004</v>
      </c>
      <c r="H6" s="132">
        <v>65</v>
      </c>
      <c r="I6" s="129"/>
      <c r="J6" s="129"/>
      <c r="K6" s="129"/>
    </row>
    <row r="7" spans="1:11">
      <c r="A7" s="133" t="s">
        <v>475</v>
      </c>
      <c r="B7" s="133">
        <v>70</v>
      </c>
      <c r="C7" s="127"/>
      <c r="D7" s="128"/>
      <c r="E7" s="129"/>
      <c r="F7" s="132" t="s">
        <v>476</v>
      </c>
      <c r="G7" s="135">
        <v>35796</v>
      </c>
      <c r="H7" s="132">
        <v>69</v>
      </c>
      <c r="I7" s="129"/>
      <c r="J7" s="129"/>
      <c r="K7" s="129"/>
    </row>
    <row r="8" spans="1:11">
      <c r="A8" s="133" t="s">
        <v>477</v>
      </c>
      <c r="B8" s="133">
        <v>95</v>
      </c>
      <c r="C8" s="127"/>
      <c r="D8" s="136"/>
      <c r="E8" s="129"/>
      <c r="F8" s="132" t="s">
        <v>478</v>
      </c>
      <c r="G8" s="135">
        <v>35956</v>
      </c>
      <c r="H8" s="132">
        <v>80</v>
      </c>
      <c r="I8" s="129"/>
      <c r="J8" s="129"/>
      <c r="K8" s="129"/>
    </row>
    <row r="9" spans="1:11">
      <c r="A9" s="133" t="s">
        <v>479</v>
      </c>
      <c r="B9" s="133">
        <v>65</v>
      </c>
      <c r="C9" s="127"/>
      <c r="D9" s="128"/>
      <c r="E9" s="129"/>
      <c r="F9" s="132" t="s">
        <v>480</v>
      </c>
      <c r="G9" s="135">
        <v>35684</v>
      </c>
      <c r="H9" s="132">
        <v>86</v>
      </c>
      <c r="I9" s="129"/>
      <c r="J9" s="129"/>
      <c r="K9" s="129"/>
    </row>
    <row r="10" spans="1:11">
      <c r="A10" s="133" t="s">
        <v>481</v>
      </c>
      <c r="B10" s="133">
        <v>80</v>
      </c>
      <c r="C10" s="127"/>
      <c r="D10" s="128"/>
      <c r="E10" s="129"/>
      <c r="F10" s="132" t="s">
        <v>482</v>
      </c>
      <c r="G10" s="135">
        <v>35226</v>
      </c>
      <c r="H10" s="132">
        <v>70</v>
      </c>
      <c r="I10" s="129"/>
      <c r="J10" s="129"/>
      <c r="K10" s="129"/>
    </row>
    <row r="11" spans="1:11">
      <c r="A11" s="129"/>
      <c r="B11" s="129"/>
      <c r="C11" s="129"/>
      <c r="D11" s="129"/>
      <c r="E11" s="129"/>
      <c r="F11" s="137" t="s">
        <v>483</v>
      </c>
      <c r="G11" s="135">
        <v>35921</v>
      </c>
      <c r="H11" s="137">
        <v>68</v>
      </c>
      <c r="I11" s="129"/>
      <c r="J11" s="129"/>
      <c r="K11" s="129"/>
    </row>
    <row r="12" spans="1:11">
      <c r="A12" s="129"/>
      <c r="B12" s="129"/>
      <c r="C12" s="129"/>
      <c r="D12" s="129"/>
      <c r="E12" s="129"/>
      <c r="F12" s="129"/>
      <c r="G12" s="129"/>
      <c r="H12" s="129"/>
      <c r="I12" s="129"/>
      <c r="J12" s="129"/>
      <c r="K12" s="129"/>
    </row>
    <row r="13" spans="1:11">
      <c r="A13" s="138"/>
      <c r="B13" s="139"/>
      <c r="C13" s="140" t="s">
        <v>484</v>
      </c>
      <c r="D13" s="141"/>
      <c r="E13" s="129"/>
      <c r="F13" s="142"/>
      <c r="G13" s="188" t="s">
        <v>485</v>
      </c>
      <c r="H13" s="188"/>
      <c r="I13" s="188"/>
      <c r="J13" s="188"/>
      <c r="K13" s="188"/>
    </row>
    <row r="14" spans="1:11">
      <c r="A14" s="132" t="s">
        <v>448</v>
      </c>
      <c r="B14" s="132" t="s">
        <v>486</v>
      </c>
      <c r="C14" s="132" t="s">
        <v>487</v>
      </c>
      <c r="D14" s="132" t="s">
        <v>488</v>
      </c>
      <c r="E14" s="129"/>
      <c r="F14" s="143" t="s">
        <v>489</v>
      </c>
      <c r="G14" s="132" t="s">
        <v>448</v>
      </c>
      <c r="H14" s="132" t="s">
        <v>486</v>
      </c>
      <c r="I14" s="132" t="s">
        <v>487</v>
      </c>
      <c r="J14" s="132" t="s">
        <v>488</v>
      </c>
      <c r="K14" s="132" t="s">
        <v>490</v>
      </c>
    </row>
    <row r="15" spans="1:11">
      <c r="A15" s="132" t="s">
        <v>491</v>
      </c>
      <c r="B15" s="132" t="s">
        <v>492</v>
      </c>
      <c r="C15" s="132"/>
      <c r="D15" s="132" t="s">
        <v>492</v>
      </c>
      <c r="E15" s="129"/>
      <c r="F15" s="143">
        <v>101</v>
      </c>
      <c r="G15" s="132" t="s">
        <v>493</v>
      </c>
      <c r="H15" s="132" t="s">
        <v>494</v>
      </c>
      <c r="I15" s="132"/>
      <c r="J15" s="132" t="s">
        <v>494</v>
      </c>
      <c r="K15" s="132"/>
    </row>
    <row r="16" spans="1:11">
      <c r="A16" s="132" t="s">
        <v>495</v>
      </c>
      <c r="B16" s="132"/>
      <c r="C16" s="132" t="s">
        <v>492</v>
      </c>
      <c r="D16" s="132"/>
      <c r="E16" s="129"/>
      <c r="F16" s="143">
        <v>102</v>
      </c>
      <c r="G16" s="132" t="s">
        <v>496</v>
      </c>
      <c r="H16" s="132"/>
      <c r="I16" s="132" t="s">
        <v>494</v>
      </c>
      <c r="J16" s="132"/>
      <c r="K16" s="132"/>
    </row>
    <row r="17" spans="1:11">
      <c r="A17" s="132" t="s">
        <v>497</v>
      </c>
      <c r="B17" s="132" t="s">
        <v>492</v>
      </c>
      <c r="C17" s="132"/>
      <c r="D17" s="132" t="s">
        <v>492</v>
      </c>
      <c r="E17" s="129"/>
      <c r="F17" s="143">
        <v>103</v>
      </c>
      <c r="G17" s="132" t="s">
        <v>498</v>
      </c>
      <c r="H17" s="132" t="s">
        <v>494</v>
      </c>
      <c r="I17" s="132"/>
      <c r="J17" s="132" t="s">
        <v>494</v>
      </c>
      <c r="K17" s="132"/>
    </row>
    <row r="18" spans="1:11">
      <c r="A18" s="132" t="s">
        <v>499</v>
      </c>
      <c r="B18" s="132" t="s">
        <v>492</v>
      </c>
      <c r="C18" s="132" t="s">
        <v>492</v>
      </c>
      <c r="D18" s="132"/>
      <c r="E18" s="129"/>
      <c r="F18" s="143">
        <v>104</v>
      </c>
      <c r="G18" s="132" t="s">
        <v>500</v>
      </c>
      <c r="H18" s="132"/>
      <c r="I18" s="132" t="s">
        <v>494</v>
      </c>
      <c r="J18" s="132"/>
      <c r="K18" s="132" t="s">
        <v>494</v>
      </c>
    </row>
    <row r="19" spans="1:11">
      <c r="A19" s="132" t="s">
        <v>501</v>
      </c>
      <c r="B19" s="132"/>
      <c r="C19" s="132"/>
      <c r="D19" s="132" t="s">
        <v>492</v>
      </c>
      <c r="E19" s="129"/>
      <c r="F19" s="143">
        <v>105</v>
      </c>
      <c r="G19" s="132" t="s">
        <v>502</v>
      </c>
      <c r="H19" s="132"/>
      <c r="I19" s="132"/>
      <c r="J19" s="132" t="s">
        <v>494</v>
      </c>
      <c r="K19" s="132"/>
    </row>
    <row r="20" spans="1:11">
      <c r="A20" s="137" t="s">
        <v>503</v>
      </c>
      <c r="B20" s="132" t="s">
        <v>492</v>
      </c>
      <c r="C20" s="132" t="s">
        <v>492</v>
      </c>
      <c r="D20" s="132" t="s">
        <v>492</v>
      </c>
      <c r="E20" s="129"/>
      <c r="F20" s="143">
        <v>106</v>
      </c>
      <c r="G20" s="137" t="s">
        <v>504</v>
      </c>
      <c r="H20" s="132"/>
      <c r="I20" s="132" t="s">
        <v>494</v>
      </c>
      <c r="J20" s="132" t="s">
        <v>494</v>
      </c>
      <c r="K20" s="132"/>
    </row>
    <row r="21" spans="1:11">
      <c r="A21" s="137" t="s">
        <v>505</v>
      </c>
      <c r="B21" s="132"/>
      <c r="C21" s="132" t="s">
        <v>492</v>
      </c>
      <c r="D21" s="132" t="s">
        <v>492</v>
      </c>
      <c r="E21" s="129"/>
      <c r="F21" s="143">
        <v>107</v>
      </c>
      <c r="G21" s="137" t="s">
        <v>506</v>
      </c>
      <c r="H21" s="132" t="s">
        <v>494</v>
      </c>
      <c r="I21" s="132" t="s">
        <v>494</v>
      </c>
      <c r="J21" s="132"/>
      <c r="K21" s="132" t="s">
        <v>494</v>
      </c>
    </row>
    <row r="22" spans="1:11">
      <c r="A22" s="137" t="s">
        <v>507</v>
      </c>
      <c r="B22" s="132" t="s">
        <v>492</v>
      </c>
      <c r="C22" s="132"/>
      <c r="D22" s="132" t="s">
        <v>492</v>
      </c>
      <c r="E22" s="129"/>
      <c r="F22" s="143">
        <v>108</v>
      </c>
      <c r="G22" s="137" t="s">
        <v>508</v>
      </c>
      <c r="H22" s="132"/>
      <c r="I22" s="132"/>
      <c r="J22" s="132" t="s">
        <v>494</v>
      </c>
      <c r="K22" s="132"/>
    </row>
    <row r="23" spans="1:11">
      <c r="A23" s="144" t="s">
        <v>509</v>
      </c>
      <c r="B23" s="132">
        <f>COUNTA(B15:B22)</f>
        <v>5</v>
      </c>
      <c r="C23" s="132">
        <f>COUNTA(C15:C22)</f>
        <v>4</v>
      </c>
      <c r="D23" s="132">
        <f>COUNTA(D15:D22)</f>
        <v>6</v>
      </c>
      <c r="E23" s="129"/>
      <c r="F23" s="129"/>
      <c r="G23" s="145" t="s">
        <v>510</v>
      </c>
      <c r="H23" s="132">
        <f>COUNTBLANK(H15:H22)</f>
        <v>5</v>
      </c>
      <c r="I23" s="132">
        <f>COUNTBLANK(I15:I22)</f>
        <v>4</v>
      </c>
      <c r="J23" s="132">
        <f>COUNTBLANK(J15:J22)</f>
        <v>3</v>
      </c>
      <c r="K23" s="132">
        <f>COUNTBLANK(K15:K22)</f>
        <v>6</v>
      </c>
    </row>
  </sheetData>
  <mergeCells count="3">
    <mergeCell ref="I4:J4"/>
    <mergeCell ref="I5:J5"/>
    <mergeCell ref="G13:K13"/>
  </mergeCells>
  <phoneticPr fontId="2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20"/>
  <sheetViews>
    <sheetView topLeftCell="A13" workbookViewId="0">
      <selection activeCell="J26" sqref="J26"/>
    </sheetView>
  </sheetViews>
  <sheetFormatPr defaultRowHeight="16.5"/>
  <cols>
    <col min="1" max="1" width="1.625" style="1" customWidth="1"/>
    <col min="2" max="2" width="9.875" style="1" bestFit="1" customWidth="1"/>
    <col min="3" max="8" width="9" style="1"/>
    <col min="9" max="9" width="1.625" style="1" customWidth="1"/>
    <col min="10" max="10" width="40.375" style="1" bestFit="1" customWidth="1"/>
    <col min="11" max="11" width="9.375" style="1" bestFit="1" customWidth="1"/>
    <col min="12" max="16384" width="9" style="1"/>
  </cols>
  <sheetData>
    <row r="1" spans="2:11" ht="27.75" customHeight="1">
      <c r="B1" s="191" t="s">
        <v>715</v>
      </c>
      <c r="C1" s="192"/>
      <c r="D1" s="192"/>
      <c r="E1" s="192"/>
      <c r="F1" s="192"/>
      <c r="G1" s="192"/>
      <c r="H1" s="192"/>
    </row>
    <row r="2" spans="2:11" ht="20.25">
      <c r="B2" s="165"/>
      <c r="C2" s="166"/>
      <c r="D2" s="166"/>
      <c r="E2" s="166"/>
      <c r="F2" s="166"/>
      <c r="G2" s="166"/>
      <c r="H2" s="166"/>
    </row>
    <row r="3" spans="2:11">
      <c r="B3" s="159" t="s">
        <v>716</v>
      </c>
      <c r="C3" s="160" t="s">
        <v>717</v>
      </c>
      <c r="D3" s="160" t="s">
        <v>718</v>
      </c>
      <c r="E3" s="160" t="s">
        <v>719</v>
      </c>
      <c r="F3" s="160" t="s">
        <v>720</v>
      </c>
      <c r="G3" s="160" t="s">
        <v>721</v>
      </c>
      <c r="H3" s="161" t="s">
        <v>722</v>
      </c>
      <c r="J3" s="193" t="s">
        <v>723</v>
      </c>
      <c r="K3" s="194"/>
    </row>
    <row r="4" spans="2:11">
      <c r="B4" s="162">
        <v>42746</v>
      </c>
      <c r="C4" s="163">
        <v>1416</v>
      </c>
      <c r="D4" s="163" t="s">
        <v>712</v>
      </c>
      <c r="E4" s="163" t="s">
        <v>724</v>
      </c>
      <c r="F4" s="164">
        <v>8</v>
      </c>
      <c r="G4" s="163" t="s">
        <v>725</v>
      </c>
      <c r="H4" s="164">
        <v>424000</v>
      </c>
      <c r="J4" s="193"/>
      <c r="K4" s="194"/>
    </row>
    <row r="5" spans="2:11">
      <c r="B5" s="162">
        <v>42746</v>
      </c>
      <c r="C5" s="163">
        <v>1705</v>
      </c>
      <c r="D5" s="163" t="s">
        <v>712</v>
      </c>
      <c r="E5" s="163" t="s">
        <v>724</v>
      </c>
      <c r="F5" s="164">
        <v>18</v>
      </c>
      <c r="G5" s="163" t="s">
        <v>726</v>
      </c>
      <c r="H5" s="164">
        <v>337000</v>
      </c>
      <c r="J5" s="193"/>
      <c r="K5" s="194"/>
    </row>
    <row r="6" spans="2:11">
      <c r="B6" s="162">
        <v>42748</v>
      </c>
      <c r="C6" s="163">
        <v>1935</v>
      </c>
      <c r="D6" s="163" t="s">
        <v>712</v>
      </c>
      <c r="E6" s="163" t="s">
        <v>727</v>
      </c>
      <c r="F6" s="164">
        <v>7</v>
      </c>
      <c r="G6" s="163" t="s">
        <v>725</v>
      </c>
      <c r="H6" s="164">
        <v>299000</v>
      </c>
      <c r="J6" s="195" t="s">
        <v>728</v>
      </c>
      <c r="K6" s="197"/>
    </row>
    <row r="7" spans="2:11">
      <c r="B7" s="162">
        <v>42758</v>
      </c>
      <c r="C7" s="163">
        <v>3229</v>
      </c>
      <c r="D7" s="163" t="s">
        <v>712</v>
      </c>
      <c r="E7" s="163" t="s">
        <v>724</v>
      </c>
      <c r="F7" s="164">
        <v>12</v>
      </c>
      <c r="G7" s="163" t="s">
        <v>726</v>
      </c>
      <c r="H7" s="164">
        <v>212000</v>
      </c>
      <c r="J7" s="196"/>
      <c r="K7" s="197"/>
    </row>
    <row r="8" spans="2:11">
      <c r="B8" s="162">
        <v>42765</v>
      </c>
      <c r="C8" s="163">
        <v>5326</v>
      </c>
      <c r="D8" s="163" t="s">
        <v>712</v>
      </c>
      <c r="E8" s="163" t="s">
        <v>729</v>
      </c>
      <c r="F8" s="164">
        <v>13</v>
      </c>
      <c r="G8" s="163" t="s">
        <v>726</v>
      </c>
      <c r="H8" s="164">
        <v>304000</v>
      </c>
      <c r="J8" s="196"/>
      <c r="K8" s="197"/>
    </row>
    <row r="9" spans="2:11">
      <c r="B9" s="162">
        <v>42741</v>
      </c>
      <c r="C9" s="163">
        <v>1126</v>
      </c>
      <c r="D9" s="163" t="s">
        <v>713</v>
      </c>
      <c r="E9" s="163" t="s">
        <v>730</v>
      </c>
      <c r="F9" s="164" t="s">
        <v>731</v>
      </c>
      <c r="G9" s="163" t="s">
        <v>725</v>
      </c>
      <c r="H9" s="164">
        <v>194000</v>
      </c>
      <c r="J9" s="195" t="s">
        <v>732</v>
      </c>
      <c r="K9" s="173"/>
    </row>
    <row r="10" spans="2:11">
      <c r="B10" s="162">
        <v>42743</v>
      </c>
      <c r="C10" s="163">
        <v>1355</v>
      </c>
      <c r="D10" s="163" t="s">
        <v>713</v>
      </c>
      <c r="E10" s="163" t="s">
        <v>733</v>
      </c>
      <c r="F10" s="164">
        <v>12</v>
      </c>
      <c r="G10" s="163" t="s">
        <v>725</v>
      </c>
      <c r="H10" s="164">
        <v>190000</v>
      </c>
      <c r="J10" s="196"/>
      <c r="K10" s="173"/>
    </row>
    <row r="11" spans="2:11">
      <c r="B11" s="162">
        <v>42743</v>
      </c>
      <c r="C11" s="163">
        <v>1355</v>
      </c>
      <c r="D11" s="163" t="s">
        <v>713</v>
      </c>
      <c r="E11" s="163" t="s">
        <v>733</v>
      </c>
      <c r="F11" s="164">
        <v>10</v>
      </c>
      <c r="G11" s="163" t="s">
        <v>725</v>
      </c>
      <c r="H11" s="164">
        <v>158000</v>
      </c>
      <c r="J11" s="196"/>
      <c r="K11" s="173"/>
    </row>
    <row r="12" spans="2:11">
      <c r="B12" s="162">
        <v>42745</v>
      </c>
      <c r="C12" s="163">
        <v>1343</v>
      </c>
      <c r="D12" s="163" t="s">
        <v>713</v>
      </c>
      <c r="E12" s="163" t="s">
        <v>733</v>
      </c>
      <c r="F12" s="164">
        <v>8</v>
      </c>
      <c r="G12" s="163" t="s">
        <v>734</v>
      </c>
      <c r="H12" s="164">
        <v>126000</v>
      </c>
      <c r="J12" s="189" t="s">
        <v>735</v>
      </c>
      <c r="K12" s="173"/>
    </row>
    <row r="13" spans="2:11">
      <c r="B13" s="162">
        <v>42745</v>
      </c>
      <c r="C13" s="163">
        <v>1343</v>
      </c>
      <c r="D13" s="163" t="s">
        <v>713</v>
      </c>
      <c r="E13" s="163" t="s">
        <v>733</v>
      </c>
      <c r="F13" s="164">
        <v>18</v>
      </c>
      <c r="G13" s="163" t="s">
        <v>734</v>
      </c>
      <c r="H13" s="164">
        <v>284000</v>
      </c>
      <c r="J13" s="190"/>
      <c r="K13" s="173"/>
    </row>
    <row r="14" spans="2:11">
      <c r="B14" s="162">
        <v>42746</v>
      </c>
      <c r="C14" s="163">
        <v>1667</v>
      </c>
      <c r="D14" s="163" t="s">
        <v>713</v>
      </c>
      <c r="E14" s="163" t="s">
        <v>736</v>
      </c>
      <c r="F14" s="164">
        <v>3</v>
      </c>
      <c r="G14" s="163" t="s">
        <v>737</v>
      </c>
      <c r="H14" s="164">
        <v>424000</v>
      </c>
    </row>
    <row r="15" spans="2:11">
      <c r="B15" s="162">
        <v>42751</v>
      </c>
      <c r="C15" s="163">
        <v>1919</v>
      </c>
      <c r="D15" s="163" t="s">
        <v>713</v>
      </c>
      <c r="E15" s="163" t="s">
        <v>736</v>
      </c>
      <c r="F15" s="164">
        <v>20</v>
      </c>
      <c r="G15" s="163" t="s">
        <v>737</v>
      </c>
      <c r="H15" s="164">
        <v>357000</v>
      </c>
    </row>
    <row r="16" spans="2:11">
      <c r="B16" s="162">
        <v>42754</v>
      </c>
      <c r="C16" s="163">
        <v>2731</v>
      </c>
      <c r="D16" s="163" t="s">
        <v>713</v>
      </c>
      <c r="E16" s="163" t="s">
        <v>724</v>
      </c>
      <c r="F16" s="164">
        <v>24</v>
      </c>
      <c r="G16" s="163" t="s">
        <v>734</v>
      </c>
      <c r="H16" s="164">
        <v>424000</v>
      </c>
    </row>
    <row r="17" spans="2:8">
      <c r="B17" s="162">
        <v>42758</v>
      </c>
      <c r="C17" s="163">
        <v>3629</v>
      </c>
      <c r="D17" s="163" t="s">
        <v>713</v>
      </c>
      <c r="E17" s="163" t="s">
        <v>730</v>
      </c>
      <c r="F17" s="164" t="s">
        <v>731</v>
      </c>
      <c r="G17" s="163" t="s">
        <v>725</v>
      </c>
      <c r="H17" s="164">
        <v>212000</v>
      </c>
    </row>
    <row r="18" spans="2:8">
      <c r="B18" s="162">
        <v>42762</v>
      </c>
      <c r="C18" s="163">
        <v>4306</v>
      </c>
      <c r="D18" s="163" t="s">
        <v>713</v>
      </c>
      <c r="E18" s="163" t="s">
        <v>724</v>
      </c>
      <c r="F18" s="164">
        <v>24</v>
      </c>
      <c r="G18" s="163" t="s">
        <v>734</v>
      </c>
      <c r="H18" s="164">
        <v>424000</v>
      </c>
    </row>
    <row r="19" spans="2:8">
      <c r="B19" s="162">
        <v>42763</v>
      </c>
      <c r="C19" s="163">
        <v>5301</v>
      </c>
      <c r="D19" s="163" t="s">
        <v>713</v>
      </c>
      <c r="E19" s="163" t="s">
        <v>724</v>
      </c>
      <c r="F19" s="164">
        <v>16</v>
      </c>
      <c r="G19" s="163" t="s">
        <v>737</v>
      </c>
      <c r="H19" s="164">
        <v>306000</v>
      </c>
    </row>
    <row r="20" spans="2:8">
      <c r="B20" s="217">
        <v>42744</v>
      </c>
      <c r="C20" s="218">
        <v>1336</v>
      </c>
      <c r="D20" s="218" t="s">
        <v>714</v>
      </c>
      <c r="E20" s="218" t="s">
        <v>724</v>
      </c>
      <c r="F20" s="219">
        <v>12</v>
      </c>
      <c r="G20" s="218" t="s">
        <v>726</v>
      </c>
      <c r="H20" s="219">
        <v>324000</v>
      </c>
    </row>
  </sheetData>
  <mergeCells count="9">
    <mergeCell ref="J12:J13"/>
    <mergeCell ref="K12:K13"/>
    <mergeCell ref="B1:H1"/>
    <mergeCell ref="J3:J5"/>
    <mergeCell ref="K3:K5"/>
    <mergeCell ref="J6:J8"/>
    <mergeCell ref="K6:K8"/>
    <mergeCell ref="J9:J11"/>
    <mergeCell ref="K9:K11"/>
  </mergeCells>
  <phoneticPr fontId="2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20"/>
  <sheetViews>
    <sheetView workbookViewId="0">
      <selection activeCell="J17" sqref="J17"/>
    </sheetView>
  </sheetViews>
  <sheetFormatPr defaultRowHeight="16.5"/>
  <cols>
    <col min="1" max="1" width="1.625" style="1" customWidth="1"/>
    <col min="2" max="2" width="9.875" style="1" bestFit="1" customWidth="1"/>
    <col min="3" max="8" width="9" style="1"/>
    <col min="9" max="9" width="1.625" style="1" customWidth="1"/>
    <col min="10" max="10" width="40.375" style="1" bestFit="1" customWidth="1"/>
    <col min="11" max="11" width="9.375" style="1" bestFit="1" customWidth="1"/>
    <col min="12" max="16384" width="9" style="1"/>
  </cols>
  <sheetData>
    <row r="1" spans="2:11" ht="27.75" customHeight="1">
      <c r="B1" s="191" t="s">
        <v>715</v>
      </c>
      <c r="C1" s="192"/>
      <c r="D1" s="192"/>
      <c r="E1" s="192"/>
      <c r="F1" s="192"/>
      <c r="G1" s="192"/>
      <c r="H1" s="192"/>
    </row>
    <row r="2" spans="2:11" ht="20.25">
      <c r="B2" s="165"/>
      <c r="C2" s="166"/>
      <c r="D2" s="166"/>
      <c r="E2" s="166"/>
      <c r="F2" s="166"/>
      <c r="G2" s="166"/>
      <c r="H2" s="166"/>
    </row>
    <row r="3" spans="2:11">
      <c r="B3" s="159" t="s">
        <v>716</v>
      </c>
      <c r="C3" s="160" t="s">
        <v>717</v>
      </c>
      <c r="D3" s="160" t="s">
        <v>718</v>
      </c>
      <c r="E3" s="160" t="s">
        <v>719</v>
      </c>
      <c r="F3" s="160" t="s">
        <v>720</v>
      </c>
      <c r="G3" s="160" t="s">
        <v>721</v>
      </c>
      <c r="H3" s="161" t="s">
        <v>722</v>
      </c>
      <c r="J3" s="193" t="s">
        <v>723</v>
      </c>
      <c r="K3" s="194">
        <f>AVERAGEIF(E4:E20,"영천",H4:H20)</f>
        <v>350142.85714285716</v>
      </c>
    </row>
    <row r="4" spans="2:11">
      <c r="B4" s="162">
        <v>42746</v>
      </c>
      <c r="C4" s="163">
        <v>1416</v>
      </c>
      <c r="D4" s="163" t="s">
        <v>712</v>
      </c>
      <c r="E4" s="163" t="s">
        <v>724</v>
      </c>
      <c r="F4" s="164">
        <v>8</v>
      </c>
      <c r="G4" s="163" t="s">
        <v>725</v>
      </c>
      <c r="H4" s="164">
        <v>424000</v>
      </c>
      <c r="J4" s="193"/>
      <c r="K4" s="194"/>
    </row>
    <row r="5" spans="2:11">
      <c r="B5" s="162">
        <v>42746</v>
      </c>
      <c r="C5" s="163">
        <v>1705</v>
      </c>
      <c r="D5" s="163" t="s">
        <v>712</v>
      </c>
      <c r="E5" s="163" t="s">
        <v>724</v>
      </c>
      <c r="F5" s="164">
        <v>18</v>
      </c>
      <c r="G5" s="163" t="s">
        <v>726</v>
      </c>
      <c r="H5" s="164">
        <v>337000</v>
      </c>
      <c r="J5" s="193"/>
      <c r="K5" s="194"/>
    </row>
    <row r="6" spans="2:11">
      <c r="B6" s="162">
        <v>42748</v>
      </c>
      <c r="C6" s="163">
        <v>1935</v>
      </c>
      <c r="D6" s="163" t="s">
        <v>712</v>
      </c>
      <c r="E6" s="163" t="s">
        <v>727</v>
      </c>
      <c r="F6" s="164">
        <v>7</v>
      </c>
      <c r="G6" s="163" t="s">
        <v>725</v>
      </c>
      <c r="H6" s="164">
        <v>299000</v>
      </c>
      <c r="J6" s="195" t="s">
        <v>728</v>
      </c>
      <c r="K6" s="197">
        <f>AVERAGEIFS(H4:H20,E4:E20,"고령",G4:G20,"자차")</f>
        <v>174000</v>
      </c>
    </row>
    <row r="7" spans="2:11">
      <c r="B7" s="162">
        <v>42758</v>
      </c>
      <c r="C7" s="163">
        <v>3229</v>
      </c>
      <c r="D7" s="163" t="s">
        <v>712</v>
      </c>
      <c r="E7" s="163" t="s">
        <v>724</v>
      </c>
      <c r="F7" s="164">
        <v>12</v>
      </c>
      <c r="G7" s="163" t="s">
        <v>726</v>
      </c>
      <c r="H7" s="164">
        <v>212000</v>
      </c>
      <c r="J7" s="196"/>
      <c r="K7" s="197"/>
    </row>
    <row r="8" spans="2:11">
      <c r="B8" s="162">
        <v>42765</v>
      </c>
      <c r="C8" s="163">
        <v>5326</v>
      </c>
      <c r="D8" s="163" t="s">
        <v>712</v>
      </c>
      <c r="E8" s="163" t="s">
        <v>729</v>
      </c>
      <c r="F8" s="164">
        <v>13</v>
      </c>
      <c r="G8" s="163" t="s">
        <v>726</v>
      </c>
      <c r="H8" s="164">
        <v>304000</v>
      </c>
      <c r="J8" s="196"/>
      <c r="K8" s="197"/>
    </row>
    <row r="9" spans="2:11">
      <c r="B9" s="162">
        <v>42741</v>
      </c>
      <c r="C9" s="163">
        <v>1126</v>
      </c>
      <c r="D9" s="163" t="s">
        <v>713</v>
      </c>
      <c r="E9" s="163" t="s">
        <v>730</v>
      </c>
      <c r="F9" s="164" t="s">
        <v>731</v>
      </c>
      <c r="G9" s="163" t="s">
        <v>725</v>
      </c>
      <c r="H9" s="164">
        <v>194000</v>
      </c>
      <c r="J9" s="195" t="s">
        <v>732</v>
      </c>
      <c r="K9" s="173">
        <f>COUNTIFS(D4:D20,"초석산업",E4:E20,"영천",F4:F20,"&gt;=10")</f>
        <v>3</v>
      </c>
    </row>
    <row r="10" spans="2:11">
      <c r="B10" s="162">
        <v>42743</v>
      </c>
      <c r="C10" s="163">
        <v>1355</v>
      </c>
      <c r="D10" s="163" t="s">
        <v>713</v>
      </c>
      <c r="E10" s="163" t="s">
        <v>733</v>
      </c>
      <c r="F10" s="164">
        <v>12</v>
      </c>
      <c r="G10" s="163" t="s">
        <v>725</v>
      </c>
      <c r="H10" s="164">
        <v>190000</v>
      </c>
      <c r="J10" s="196"/>
      <c r="K10" s="173"/>
    </row>
    <row r="11" spans="2:11">
      <c r="B11" s="162">
        <v>42743</v>
      </c>
      <c r="C11" s="163">
        <v>1355</v>
      </c>
      <c r="D11" s="163" t="s">
        <v>713</v>
      </c>
      <c r="E11" s="163" t="s">
        <v>733</v>
      </c>
      <c r="F11" s="164">
        <v>10</v>
      </c>
      <c r="G11" s="163" t="s">
        <v>725</v>
      </c>
      <c r="H11" s="164">
        <v>158000</v>
      </c>
      <c r="J11" s="196"/>
      <c r="K11" s="173"/>
    </row>
    <row r="12" spans="2:11">
      <c r="B12" s="162">
        <v>42745</v>
      </c>
      <c r="C12" s="163">
        <v>1343</v>
      </c>
      <c r="D12" s="163" t="s">
        <v>713</v>
      </c>
      <c r="E12" s="163" t="s">
        <v>733</v>
      </c>
      <c r="F12" s="164">
        <v>8</v>
      </c>
      <c r="G12" s="163" t="s">
        <v>734</v>
      </c>
      <c r="H12" s="164">
        <v>126000</v>
      </c>
      <c r="J12" s="189" t="s">
        <v>735</v>
      </c>
      <c r="K12" s="173">
        <f>MAXA(F4:F20)</f>
        <v>24</v>
      </c>
    </row>
    <row r="13" spans="2:11">
      <c r="B13" s="162">
        <v>42745</v>
      </c>
      <c r="C13" s="163">
        <v>1343</v>
      </c>
      <c r="D13" s="163" t="s">
        <v>713</v>
      </c>
      <c r="E13" s="163" t="s">
        <v>733</v>
      </c>
      <c r="F13" s="164">
        <v>18</v>
      </c>
      <c r="G13" s="163" t="s">
        <v>734</v>
      </c>
      <c r="H13" s="164">
        <v>284000</v>
      </c>
      <c r="J13" s="190"/>
      <c r="K13" s="173"/>
    </row>
    <row r="14" spans="2:11">
      <c r="B14" s="162">
        <v>42746</v>
      </c>
      <c r="C14" s="163">
        <v>1667</v>
      </c>
      <c r="D14" s="163" t="s">
        <v>713</v>
      </c>
      <c r="E14" s="163" t="s">
        <v>736</v>
      </c>
      <c r="F14" s="164">
        <v>3</v>
      </c>
      <c r="G14" s="163" t="s">
        <v>737</v>
      </c>
      <c r="H14" s="164">
        <v>424000</v>
      </c>
    </row>
    <row r="15" spans="2:11">
      <c r="B15" s="162">
        <v>42751</v>
      </c>
      <c r="C15" s="163">
        <v>1919</v>
      </c>
      <c r="D15" s="163" t="s">
        <v>713</v>
      </c>
      <c r="E15" s="163" t="s">
        <v>736</v>
      </c>
      <c r="F15" s="164">
        <v>20</v>
      </c>
      <c r="G15" s="163" t="s">
        <v>737</v>
      </c>
      <c r="H15" s="164">
        <v>357000</v>
      </c>
    </row>
    <row r="16" spans="2:11">
      <c r="B16" s="162">
        <v>42754</v>
      </c>
      <c r="C16" s="163">
        <v>2731</v>
      </c>
      <c r="D16" s="163" t="s">
        <v>713</v>
      </c>
      <c r="E16" s="163" t="s">
        <v>724</v>
      </c>
      <c r="F16" s="164">
        <v>24</v>
      </c>
      <c r="G16" s="163" t="s">
        <v>734</v>
      </c>
      <c r="H16" s="164">
        <v>424000</v>
      </c>
    </row>
    <row r="17" spans="2:8">
      <c r="B17" s="162">
        <v>42758</v>
      </c>
      <c r="C17" s="163">
        <v>3629</v>
      </c>
      <c r="D17" s="163" t="s">
        <v>713</v>
      </c>
      <c r="E17" s="163" t="s">
        <v>730</v>
      </c>
      <c r="F17" s="164" t="s">
        <v>731</v>
      </c>
      <c r="G17" s="163" t="s">
        <v>725</v>
      </c>
      <c r="H17" s="164">
        <v>212000</v>
      </c>
    </row>
    <row r="18" spans="2:8">
      <c r="B18" s="162">
        <v>42762</v>
      </c>
      <c r="C18" s="163">
        <v>4306</v>
      </c>
      <c r="D18" s="163" t="s">
        <v>713</v>
      </c>
      <c r="E18" s="163" t="s">
        <v>724</v>
      </c>
      <c r="F18" s="164">
        <v>24</v>
      </c>
      <c r="G18" s="163" t="s">
        <v>734</v>
      </c>
      <c r="H18" s="164">
        <v>424000</v>
      </c>
    </row>
    <row r="19" spans="2:8">
      <c r="B19" s="162">
        <v>42763</v>
      </c>
      <c r="C19" s="163">
        <v>5301</v>
      </c>
      <c r="D19" s="163" t="s">
        <v>713</v>
      </c>
      <c r="E19" s="163" t="s">
        <v>724</v>
      </c>
      <c r="F19" s="164">
        <v>16</v>
      </c>
      <c r="G19" s="163" t="s">
        <v>737</v>
      </c>
      <c r="H19" s="164">
        <v>306000</v>
      </c>
    </row>
    <row r="20" spans="2:8">
      <c r="B20" s="217">
        <v>42744</v>
      </c>
      <c r="C20" s="218">
        <v>1336</v>
      </c>
      <c r="D20" s="218" t="s">
        <v>714</v>
      </c>
      <c r="E20" s="218" t="s">
        <v>724</v>
      </c>
      <c r="F20" s="219">
        <v>12</v>
      </c>
      <c r="G20" s="218" t="s">
        <v>726</v>
      </c>
      <c r="H20" s="219">
        <v>324000</v>
      </c>
    </row>
  </sheetData>
  <mergeCells count="9">
    <mergeCell ref="J12:J13"/>
    <mergeCell ref="K12:K13"/>
    <mergeCell ref="B1:H1"/>
    <mergeCell ref="J3:J5"/>
    <mergeCell ref="K3:K5"/>
    <mergeCell ref="J6:J8"/>
    <mergeCell ref="K6:K8"/>
    <mergeCell ref="J9:J11"/>
    <mergeCell ref="K9:K11"/>
  </mergeCells>
  <phoneticPr fontId="2" type="noConversion"/>
  <pageMargins left="0.7" right="0.7" top="0.75" bottom="0.75" header="0.3" footer="0.3"/>
  <pageSetup paperSize="9"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3"/>
  <sheetViews>
    <sheetView topLeftCell="A28" zoomScaleNormal="100" workbookViewId="0">
      <selection activeCell="K32" sqref="K32"/>
    </sheetView>
  </sheetViews>
  <sheetFormatPr defaultRowHeight="16.5"/>
  <cols>
    <col min="1" max="2" width="9" style="1"/>
    <col min="3" max="3" width="12.375" style="1" bestFit="1" customWidth="1"/>
    <col min="4" max="11" width="9" style="1"/>
    <col min="12" max="12" width="11" style="1" bestFit="1" customWidth="1"/>
    <col min="13" max="16384" width="9" style="1"/>
  </cols>
  <sheetData>
    <row r="1" spans="1:13">
      <c r="A1" s="1" t="s">
        <v>599</v>
      </c>
      <c r="D1" s="149"/>
      <c r="F1" s="150" t="s">
        <v>600</v>
      </c>
      <c r="K1" s="1" t="s">
        <v>59</v>
      </c>
    </row>
    <row r="2" spans="1:13">
      <c r="A2" s="153" t="s">
        <v>601</v>
      </c>
      <c r="B2" s="153" t="s">
        <v>602</v>
      </c>
      <c r="C2" s="153" t="s">
        <v>603</v>
      </c>
      <c r="D2" s="105" t="s">
        <v>604</v>
      </c>
      <c r="F2" s="154" t="s">
        <v>605</v>
      </c>
      <c r="G2" s="24" t="s">
        <v>606</v>
      </c>
      <c r="H2" s="102" t="s">
        <v>607</v>
      </c>
      <c r="I2" s="102" t="s">
        <v>608</v>
      </c>
      <c r="K2" s="171" t="s">
        <v>25</v>
      </c>
      <c r="L2" s="171" t="s">
        <v>562</v>
      </c>
      <c r="M2" s="155" t="s">
        <v>609</v>
      </c>
    </row>
    <row r="3" spans="1:13">
      <c r="A3" s="153" t="s">
        <v>520</v>
      </c>
      <c r="B3" s="5" t="s">
        <v>610</v>
      </c>
      <c r="C3" s="42" t="s">
        <v>611</v>
      </c>
      <c r="D3" s="153"/>
      <c r="F3" s="151" t="s">
        <v>612</v>
      </c>
      <c r="G3" s="24">
        <v>10</v>
      </c>
      <c r="H3" s="102" t="s">
        <v>613</v>
      </c>
      <c r="I3" s="102" t="s">
        <v>614</v>
      </c>
      <c r="K3" s="154" t="s">
        <v>615</v>
      </c>
      <c r="L3" s="170">
        <v>3</v>
      </c>
      <c r="M3" s="147"/>
    </row>
    <row r="4" spans="1:13">
      <c r="A4" s="153" t="s">
        <v>521</v>
      </c>
      <c r="B4" s="5" t="s">
        <v>616</v>
      </c>
      <c r="C4" s="42" t="s">
        <v>617</v>
      </c>
      <c r="D4" s="153"/>
      <c r="F4" s="151" t="s">
        <v>618</v>
      </c>
      <c r="G4" s="24">
        <v>15</v>
      </c>
      <c r="H4" s="102" t="s">
        <v>619</v>
      </c>
      <c r="I4" s="102" t="s">
        <v>614</v>
      </c>
      <c r="K4" s="170" t="s">
        <v>525</v>
      </c>
      <c r="L4" s="170">
        <v>1</v>
      </c>
      <c r="M4" s="147"/>
    </row>
    <row r="5" spans="1:13">
      <c r="A5" s="153" t="s">
        <v>526</v>
      </c>
      <c r="B5" s="5" t="s">
        <v>620</v>
      </c>
      <c r="C5" s="42" t="s">
        <v>621</v>
      </c>
      <c r="D5" s="153"/>
      <c r="F5" s="154" t="s">
        <v>622</v>
      </c>
      <c r="G5" s="24">
        <v>11</v>
      </c>
      <c r="H5" s="102" t="s">
        <v>623</v>
      </c>
      <c r="I5" s="102" t="s">
        <v>624</v>
      </c>
      <c r="K5" s="170" t="s">
        <v>531</v>
      </c>
      <c r="L5" s="170">
        <v>2</v>
      </c>
      <c r="M5" s="147"/>
    </row>
    <row r="6" spans="1:13">
      <c r="A6" s="153" t="s">
        <v>532</v>
      </c>
      <c r="B6" s="5" t="s">
        <v>625</v>
      </c>
      <c r="C6" s="42" t="s">
        <v>626</v>
      </c>
      <c r="D6" s="153"/>
      <c r="F6" s="154" t="s">
        <v>627</v>
      </c>
      <c r="G6" s="24">
        <v>20</v>
      </c>
      <c r="H6" s="102" t="s">
        <v>628</v>
      </c>
      <c r="I6" s="102" t="s">
        <v>629</v>
      </c>
      <c r="K6" s="170" t="s">
        <v>537</v>
      </c>
      <c r="L6" s="170">
        <v>3</v>
      </c>
      <c r="M6" s="147"/>
    </row>
    <row r="7" spans="1:13">
      <c r="A7" s="153" t="s">
        <v>538</v>
      </c>
      <c r="B7" s="5" t="s">
        <v>630</v>
      </c>
      <c r="C7" s="42" t="s">
        <v>631</v>
      </c>
      <c r="D7" s="153"/>
      <c r="F7" s="151" t="s">
        <v>632</v>
      </c>
      <c r="G7" s="24">
        <v>8</v>
      </c>
      <c r="H7" s="102" t="s">
        <v>633</v>
      </c>
      <c r="I7" s="102" t="s">
        <v>624</v>
      </c>
      <c r="K7" s="170" t="s">
        <v>543</v>
      </c>
      <c r="L7" s="170">
        <v>2</v>
      </c>
      <c r="M7" s="147"/>
    </row>
    <row r="8" spans="1:13">
      <c r="A8" s="153" t="s">
        <v>544</v>
      </c>
      <c r="B8" s="5" t="s">
        <v>634</v>
      </c>
      <c r="C8" s="42" t="s">
        <v>635</v>
      </c>
      <c r="D8" s="153"/>
      <c r="F8" s="151" t="s">
        <v>636</v>
      </c>
      <c r="G8" s="24">
        <v>3</v>
      </c>
      <c r="H8" s="102" t="s">
        <v>637</v>
      </c>
      <c r="I8" s="102" t="s">
        <v>624</v>
      </c>
      <c r="K8" s="170" t="s">
        <v>549</v>
      </c>
      <c r="L8" s="170">
        <v>1</v>
      </c>
      <c r="M8" s="147"/>
    </row>
    <row r="9" spans="1:13">
      <c r="A9" s="153" t="s">
        <v>550</v>
      </c>
      <c r="B9" s="5" t="s">
        <v>638</v>
      </c>
      <c r="C9" s="42" t="s">
        <v>631</v>
      </c>
      <c r="D9" s="153"/>
      <c r="F9" s="156"/>
      <c r="G9" s="65"/>
      <c r="H9" s="152"/>
      <c r="I9" s="152"/>
      <c r="K9" s="55" t="s">
        <v>147</v>
      </c>
      <c r="L9" s="170">
        <v>3</v>
      </c>
      <c r="M9" s="147"/>
    </row>
    <row r="10" spans="1:13">
      <c r="A10" s="153" t="s">
        <v>553</v>
      </c>
      <c r="B10" s="153" t="s">
        <v>639</v>
      </c>
      <c r="C10" s="42" t="s">
        <v>626</v>
      </c>
      <c r="D10" s="153"/>
      <c r="F10" s="156"/>
      <c r="G10" s="65"/>
      <c r="H10" s="105" t="s">
        <v>607</v>
      </c>
      <c r="I10" s="24"/>
      <c r="K10" s="55" t="s">
        <v>148</v>
      </c>
      <c r="L10" s="170">
        <v>4</v>
      </c>
      <c r="M10" s="147"/>
    </row>
    <row r="12" spans="1:13">
      <c r="A12" s="198" t="s">
        <v>640</v>
      </c>
      <c r="B12" s="198"/>
      <c r="C12" s="198"/>
      <c r="D12" s="198"/>
      <c r="L12"/>
      <c r="M12"/>
    </row>
    <row r="13" spans="1:13">
      <c r="A13" s="102" t="s">
        <v>641</v>
      </c>
      <c r="B13" s="102" t="s">
        <v>642</v>
      </c>
      <c r="C13" s="24" t="s">
        <v>643</v>
      </c>
      <c r="D13" s="24" t="s">
        <v>644</v>
      </c>
      <c r="L13" s="171" t="s">
        <v>746</v>
      </c>
      <c r="M13"/>
    </row>
    <row r="14" spans="1:13">
      <c r="A14" s="102" t="s">
        <v>645</v>
      </c>
      <c r="B14" s="7" t="s">
        <v>646</v>
      </c>
      <c r="C14" s="7" t="s">
        <v>647</v>
      </c>
      <c r="D14" s="7" t="s">
        <v>648</v>
      </c>
      <c r="F14" s="150" t="s">
        <v>649</v>
      </c>
      <c r="G14" s="157"/>
      <c r="H14" s="157"/>
      <c r="I14" s="157"/>
      <c r="J14" s="157"/>
      <c r="L14" s="170">
        <v>1</v>
      </c>
      <c r="M14"/>
    </row>
    <row r="15" spans="1:13">
      <c r="F15" s="116" t="s">
        <v>650</v>
      </c>
      <c r="G15" s="116" t="s">
        <v>512</v>
      </c>
      <c r="H15" s="116" t="s">
        <v>651</v>
      </c>
      <c r="I15" s="116" t="s">
        <v>652</v>
      </c>
      <c r="J15" s="122" t="s">
        <v>653</v>
      </c>
      <c r="L15" s="170">
        <v>2</v>
      </c>
      <c r="M15"/>
    </row>
    <row r="16" spans="1:13">
      <c r="A16" s="150" t="s">
        <v>654</v>
      </c>
      <c r="F16" s="158" t="s">
        <v>655</v>
      </c>
      <c r="G16" s="153" t="s">
        <v>656</v>
      </c>
      <c r="H16" s="103" t="s">
        <v>657</v>
      </c>
      <c r="I16" s="103">
        <v>16</v>
      </c>
      <c r="J16" s="103"/>
      <c r="L16" s="170">
        <v>4</v>
      </c>
      <c r="M16"/>
    </row>
    <row r="17" spans="1:13">
      <c r="A17" s="154" t="s">
        <v>658</v>
      </c>
      <c r="B17" s="102" t="s">
        <v>659</v>
      </c>
      <c r="C17" s="102" t="s">
        <v>660</v>
      </c>
      <c r="D17" s="105" t="s">
        <v>513</v>
      </c>
      <c r="F17" s="116" t="s">
        <v>661</v>
      </c>
      <c r="G17" s="153" t="s">
        <v>662</v>
      </c>
      <c r="H17" s="103" t="s">
        <v>663</v>
      </c>
      <c r="I17" s="103">
        <v>13</v>
      </c>
      <c r="J17" s="103"/>
      <c r="L17" s="170">
        <v>6</v>
      </c>
      <c r="M17"/>
    </row>
    <row r="18" spans="1:13">
      <c r="A18" s="154" t="s">
        <v>580</v>
      </c>
      <c r="B18" s="55" t="s">
        <v>664</v>
      </c>
      <c r="C18" s="102">
        <v>190.15</v>
      </c>
      <c r="D18" s="102"/>
      <c r="F18" s="116" t="s">
        <v>665</v>
      </c>
      <c r="G18" s="153" t="s">
        <v>666</v>
      </c>
      <c r="H18" s="103" t="s">
        <v>657</v>
      </c>
      <c r="I18" s="103">
        <v>8</v>
      </c>
      <c r="J18" s="103"/>
    </row>
    <row r="19" spans="1:13">
      <c r="A19" s="154" t="s">
        <v>583</v>
      </c>
      <c r="B19" s="55" t="s">
        <v>667</v>
      </c>
      <c r="C19" s="102">
        <v>166.93</v>
      </c>
      <c r="D19" s="102"/>
      <c r="F19" s="116" t="s">
        <v>668</v>
      </c>
      <c r="G19" s="153" t="s">
        <v>669</v>
      </c>
      <c r="H19" s="116" t="s">
        <v>663</v>
      </c>
      <c r="I19" s="103">
        <v>12</v>
      </c>
      <c r="J19" s="103"/>
    </row>
    <row r="20" spans="1:13">
      <c r="A20" s="154" t="s">
        <v>586</v>
      </c>
      <c r="B20" s="55" t="s">
        <v>670</v>
      </c>
      <c r="C20" s="102">
        <v>182.54</v>
      </c>
      <c r="D20" s="102"/>
      <c r="F20" s="116" t="s">
        <v>671</v>
      </c>
      <c r="G20" s="153" t="s">
        <v>672</v>
      </c>
      <c r="H20" s="116" t="s">
        <v>673</v>
      </c>
      <c r="I20" s="103">
        <v>4</v>
      </c>
      <c r="J20" s="103"/>
    </row>
    <row r="21" spans="1:13">
      <c r="A21" s="154" t="s">
        <v>590</v>
      </c>
      <c r="B21" s="55" t="s">
        <v>674</v>
      </c>
      <c r="C21" s="102">
        <v>168.78</v>
      </c>
      <c r="D21" s="102"/>
      <c r="F21" s="103" t="s">
        <v>675</v>
      </c>
      <c r="G21" s="153" t="s">
        <v>676</v>
      </c>
      <c r="H21" s="116" t="s">
        <v>673</v>
      </c>
      <c r="I21" s="103">
        <v>11</v>
      </c>
      <c r="J21" s="103"/>
    </row>
    <row r="22" spans="1:13">
      <c r="A22" s="154" t="s">
        <v>593</v>
      </c>
      <c r="B22" s="55" t="s">
        <v>677</v>
      </c>
      <c r="C22" s="102">
        <v>191.54</v>
      </c>
      <c r="D22" s="102"/>
      <c r="F22" s="103" t="s">
        <v>678</v>
      </c>
      <c r="G22" s="153" t="s">
        <v>679</v>
      </c>
      <c r="H22" s="116" t="s">
        <v>673</v>
      </c>
      <c r="I22" s="103">
        <v>3</v>
      </c>
      <c r="J22" s="103"/>
    </row>
    <row r="23" spans="1:13">
      <c r="A23" s="154" t="s">
        <v>680</v>
      </c>
      <c r="B23" s="55" t="s">
        <v>681</v>
      </c>
      <c r="C23" s="102">
        <v>170.58</v>
      </c>
      <c r="D23" s="102"/>
      <c r="F23" s="103" t="s">
        <v>682</v>
      </c>
      <c r="G23" s="7" t="s">
        <v>683</v>
      </c>
      <c r="H23" s="116" t="s">
        <v>657</v>
      </c>
      <c r="I23" s="103">
        <v>15</v>
      </c>
      <c r="J23" s="103"/>
    </row>
  </sheetData>
  <mergeCells count="1">
    <mergeCell ref="A12:D12"/>
  </mergeCells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3"/>
  <sheetViews>
    <sheetView zoomScaleNormal="100" workbookViewId="0"/>
  </sheetViews>
  <sheetFormatPr defaultRowHeight="16.5"/>
  <cols>
    <col min="3" max="3" width="12.375" bestFit="1" customWidth="1"/>
    <col min="12" max="12" width="11" bestFit="1" customWidth="1"/>
    <col min="13" max="13" width="9.375" bestFit="1" customWidth="1"/>
  </cols>
  <sheetData>
    <row r="1" spans="1:13">
      <c r="A1" s="1" t="s">
        <v>684</v>
      </c>
      <c r="B1" s="1"/>
      <c r="C1" s="1"/>
      <c r="D1" s="149"/>
      <c r="E1" s="1"/>
      <c r="F1" s="150" t="s">
        <v>685</v>
      </c>
      <c r="G1" s="1"/>
      <c r="H1" s="1"/>
      <c r="I1" s="1"/>
      <c r="J1" s="1"/>
      <c r="K1" s="1" t="s">
        <v>686</v>
      </c>
      <c r="L1" s="1"/>
      <c r="M1" s="1"/>
    </row>
    <row r="2" spans="1:13">
      <c r="A2" s="153" t="s">
        <v>687</v>
      </c>
      <c r="B2" s="153" t="s">
        <v>688</v>
      </c>
      <c r="C2" s="153" t="s">
        <v>689</v>
      </c>
      <c r="D2" s="105" t="s">
        <v>690</v>
      </c>
      <c r="E2" s="1"/>
      <c r="F2" s="154" t="s">
        <v>691</v>
      </c>
      <c r="G2" s="24" t="s">
        <v>692</v>
      </c>
      <c r="H2" s="102" t="s">
        <v>555</v>
      </c>
      <c r="I2" s="102" t="s">
        <v>693</v>
      </c>
      <c r="J2" s="1"/>
      <c r="K2" s="53" t="s">
        <v>511</v>
      </c>
      <c r="L2" s="53" t="s">
        <v>562</v>
      </c>
      <c r="M2" s="155" t="s">
        <v>694</v>
      </c>
    </row>
    <row r="3" spans="1:13">
      <c r="A3" s="153" t="s">
        <v>520</v>
      </c>
      <c r="B3" s="5" t="s">
        <v>695</v>
      </c>
      <c r="C3" s="42" t="s">
        <v>696</v>
      </c>
      <c r="D3" s="153" t="str">
        <f>HLOOKUP(LEFT(C3,1),$A$13:$D$14,2,0)</f>
        <v>스마트폰</v>
      </c>
      <c r="E3" s="1"/>
      <c r="F3" s="151" t="s">
        <v>697</v>
      </c>
      <c r="G3" s="24">
        <v>10</v>
      </c>
      <c r="H3" s="102" t="s">
        <v>698</v>
      </c>
      <c r="I3" s="102" t="s">
        <v>524</v>
      </c>
      <c r="J3" s="1"/>
      <c r="K3" s="154" t="s">
        <v>699</v>
      </c>
      <c r="L3" s="102">
        <v>3</v>
      </c>
      <c r="M3" s="147">
        <f t="shared" ref="M3:M10" si="0">L3*60000*(1-CHOOSE(MATCH(L3,$L$14:$L$17,1),0%,5%,10%,15%))</f>
        <v>171000</v>
      </c>
    </row>
    <row r="4" spans="1:13">
      <c r="A4" s="153" t="s">
        <v>521</v>
      </c>
      <c r="B4" s="5" t="s">
        <v>700</v>
      </c>
      <c r="C4" s="42" t="s">
        <v>701</v>
      </c>
      <c r="D4" s="153" t="str">
        <f t="shared" ref="D4:D10" si="1">HLOOKUP(LEFT(C4,1),$A$13:$D$14,2,0)</f>
        <v>아이패드</v>
      </c>
      <c r="E4" s="1"/>
      <c r="F4" s="151" t="s">
        <v>522</v>
      </c>
      <c r="G4" s="24">
        <v>15</v>
      </c>
      <c r="H4" s="102" t="s">
        <v>523</v>
      </c>
      <c r="I4" s="102" t="s">
        <v>524</v>
      </c>
      <c r="J4" s="1"/>
      <c r="K4" s="102" t="s">
        <v>525</v>
      </c>
      <c r="L4" s="102">
        <v>1</v>
      </c>
      <c r="M4" s="147">
        <f t="shared" si="0"/>
        <v>60000</v>
      </c>
    </row>
    <row r="5" spans="1:13">
      <c r="A5" s="153" t="s">
        <v>526</v>
      </c>
      <c r="B5" s="5" t="s">
        <v>527</v>
      </c>
      <c r="C5" s="42" t="s">
        <v>702</v>
      </c>
      <c r="D5" s="153" t="str">
        <f t="shared" si="1"/>
        <v>전화기</v>
      </c>
      <c r="E5" s="1"/>
      <c r="F5" s="154" t="s">
        <v>528</v>
      </c>
      <c r="G5" s="24">
        <v>11</v>
      </c>
      <c r="H5" s="102" t="s">
        <v>529</v>
      </c>
      <c r="I5" s="102" t="s">
        <v>530</v>
      </c>
      <c r="J5" s="1"/>
      <c r="K5" s="102" t="s">
        <v>531</v>
      </c>
      <c r="L5" s="102">
        <v>2</v>
      </c>
      <c r="M5" s="147">
        <f t="shared" si="0"/>
        <v>114000</v>
      </c>
    </row>
    <row r="6" spans="1:13">
      <c r="A6" s="153" t="s">
        <v>532</v>
      </c>
      <c r="B6" s="5" t="s">
        <v>533</v>
      </c>
      <c r="C6" s="42" t="s">
        <v>703</v>
      </c>
      <c r="D6" s="153" t="str">
        <f t="shared" si="1"/>
        <v>없음</v>
      </c>
      <c r="E6" s="1"/>
      <c r="F6" s="154" t="s">
        <v>534</v>
      </c>
      <c r="G6" s="24">
        <v>20</v>
      </c>
      <c r="H6" s="102" t="s">
        <v>535</v>
      </c>
      <c r="I6" s="102" t="s">
        <v>536</v>
      </c>
      <c r="J6" s="1"/>
      <c r="K6" s="102" t="s">
        <v>537</v>
      </c>
      <c r="L6" s="102">
        <v>3</v>
      </c>
      <c r="M6" s="147">
        <f t="shared" si="0"/>
        <v>171000</v>
      </c>
    </row>
    <row r="7" spans="1:13">
      <c r="A7" s="153" t="s">
        <v>538</v>
      </c>
      <c r="B7" s="5" t="s">
        <v>539</v>
      </c>
      <c r="C7" s="42" t="s">
        <v>540</v>
      </c>
      <c r="D7" s="153" t="str">
        <f t="shared" si="1"/>
        <v>스마트폰</v>
      </c>
      <c r="E7" s="1"/>
      <c r="F7" s="151" t="s">
        <v>541</v>
      </c>
      <c r="G7" s="24">
        <v>8</v>
      </c>
      <c r="H7" s="102" t="s">
        <v>542</v>
      </c>
      <c r="I7" s="102" t="s">
        <v>530</v>
      </c>
      <c r="J7" s="1"/>
      <c r="K7" s="102" t="s">
        <v>543</v>
      </c>
      <c r="L7" s="102">
        <v>2</v>
      </c>
      <c r="M7" s="147">
        <f t="shared" si="0"/>
        <v>114000</v>
      </c>
    </row>
    <row r="8" spans="1:13">
      <c r="A8" s="153" t="s">
        <v>544</v>
      </c>
      <c r="B8" s="5" t="s">
        <v>545</v>
      </c>
      <c r="C8" s="42" t="s">
        <v>546</v>
      </c>
      <c r="D8" s="153" t="str">
        <f t="shared" si="1"/>
        <v>전화기</v>
      </c>
      <c r="E8" s="1"/>
      <c r="F8" s="151" t="s">
        <v>547</v>
      </c>
      <c r="G8" s="24">
        <v>3</v>
      </c>
      <c r="H8" s="102" t="s">
        <v>548</v>
      </c>
      <c r="I8" s="102" t="s">
        <v>530</v>
      </c>
      <c r="J8" s="1"/>
      <c r="K8" s="102" t="s">
        <v>549</v>
      </c>
      <c r="L8" s="102">
        <v>1</v>
      </c>
      <c r="M8" s="147">
        <f t="shared" si="0"/>
        <v>60000</v>
      </c>
    </row>
    <row r="9" spans="1:13">
      <c r="A9" s="153" t="s">
        <v>550</v>
      </c>
      <c r="B9" s="5" t="s">
        <v>551</v>
      </c>
      <c r="C9" s="42" t="s">
        <v>540</v>
      </c>
      <c r="D9" s="153" t="str">
        <f t="shared" si="1"/>
        <v>스마트폰</v>
      </c>
      <c r="E9" s="1"/>
      <c r="F9" s="156"/>
      <c r="G9" s="65"/>
      <c r="H9" s="152"/>
      <c r="I9" s="152"/>
      <c r="J9" s="1"/>
      <c r="K9" s="55" t="s">
        <v>552</v>
      </c>
      <c r="L9" s="102">
        <v>3</v>
      </c>
      <c r="M9" s="147">
        <f t="shared" si="0"/>
        <v>171000</v>
      </c>
    </row>
    <row r="10" spans="1:13">
      <c r="A10" s="153" t="s">
        <v>553</v>
      </c>
      <c r="B10" s="153" t="s">
        <v>554</v>
      </c>
      <c r="C10" s="42" t="s">
        <v>703</v>
      </c>
      <c r="D10" s="153" t="str">
        <f t="shared" si="1"/>
        <v>없음</v>
      </c>
      <c r="E10" s="1"/>
      <c r="F10" s="156"/>
      <c r="G10" s="65"/>
      <c r="H10" s="105" t="s">
        <v>555</v>
      </c>
      <c r="I10" s="24" t="str">
        <f>VLOOKUP(LARGE(G3:G8,1),G3:I8,2,0)</f>
        <v>김민철</v>
      </c>
      <c r="J10" s="1"/>
      <c r="K10" s="55" t="s">
        <v>556</v>
      </c>
      <c r="L10" s="102">
        <v>4</v>
      </c>
      <c r="M10" s="147">
        <f t="shared" si="0"/>
        <v>216000</v>
      </c>
    </row>
    <row r="11" spans="1:1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</row>
    <row r="12" spans="1:13">
      <c r="A12" s="198" t="s">
        <v>557</v>
      </c>
      <c r="B12" s="198"/>
      <c r="C12" s="198"/>
      <c r="D12" s="198"/>
      <c r="E12" s="1"/>
      <c r="F12" s="1"/>
      <c r="G12" s="1"/>
      <c r="H12" s="1"/>
      <c r="I12" s="1"/>
      <c r="J12" s="1"/>
      <c r="K12" s="1"/>
    </row>
    <row r="13" spans="1:13">
      <c r="A13" s="102" t="s">
        <v>558</v>
      </c>
      <c r="B13" s="102" t="s">
        <v>559</v>
      </c>
      <c r="C13" s="24" t="s">
        <v>560</v>
      </c>
      <c r="D13" s="24" t="s">
        <v>561</v>
      </c>
      <c r="E13" s="1"/>
      <c r="F13" s="1"/>
      <c r="G13" s="1"/>
      <c r="H13" s="1"/>
      <c r="I13" s="1"/>
      <c r="J13" s="1"/>
      <c r="K13" s="1"/>
      <c r="L13" s="171" t="s">
        <v>746</v>
      </c>
    </row>
    <row r="14" spans="1:13">
      <c r="A14" s="102" t="s">
        <v>563</v>
      </c>
      <c r="B14" s="7" t="s">
        <v>564</v>
      </c>
      <c r="C14" s="7" t="s">
        <v>565</v>
      </c>
      <c r="D14" s="7" t="s">
        <v>566</v>
      </c>
      <c r="E14" s="1"/>
      <c r="F14" s="150" t="s">
        <v>567</v>
      </c>
      <c r="G14" s="157"/>
      <c r="H14" s="157"/>
      <c r="I14" s="157"/>
      <c r="J14" s="157"/>
      <c r="K14" s="1"/>
      <c r="L14" s="102">
        <v>1</v>
      </c>
    </row>
    <row r="15" spans="1:13">
      <c r="A15" s="1"/>
      <c r="B15" s="1"/>
      <c r="C15" s="1"/>
      <c r="D15" s="1"/>
      <c r="E15" s="1"/>
      <c r="F15" s="116" t="s">
        <v>568</v>
      </c>
      <c r="G15" s="116" t="s">
        <v>511</v>
      </c>
      <c r="H15" s="116" t="s">
        <v>569</v>
      </c>
      <c r="I15" s="116" t="s">
        <v>570</v>
      </c>
      <c r="J15" s="122" t="s">
        <v>571</v>
      </c>
      <c r="K15" s="1"/>
      <c r="L15" s="102">
        <v>2</v>
      </c>
    </row>
    <row r="16" spans="1:13">
      <c r="A16" s="150" t="s">
        <v>102</v>
      </c>
      <c r="B16" s="1"/>
      <c r="C16" s="1"/>
      <c r="D16" s="1"/>
      <c r="E16" s="1"/>
      <c r="F16" s="158" t="s">
        <v>704</v>
      </c>
      <c r="G16" s="153" t="s">
        <v>572</v>
      </c>
      <c r="H16" s="103" t="s">
        <v>573</v>
      </c>
      <c r="I16" s="103">
        <v>16</v>
      </c>
      <c r="J16" s="103" t="str">
        <f t="shared" ref="J16:J23" si="2">CHOOSE(MID(F16,3,1),"부장","과장","대리","사원")</f>
        <v>부장</v>
      </c>
      <c r="K16" s="1"/>
      <c r="L16" s="102">
        <v>4</v>
      </c>
    </row>
    <row r="17" spans="1:13">
      <c r="A17" s="154" t="s">
        <v>574</v>
      </c>
      <c r="B17" s="102" t="s">
        <v>575</v>
      </c>
      <c r="C17" s="102" t="s">
        <v>576</v>
      </c>
      <c r="D17" s="172" t="s">
        <v>577</v>
      </c>
      <c r="E17" s="1"/>
      <c r="F17" s="116" t="s">
        <v>705</v>
      </c>
      <c r="G17" s="153" t="s">
        <v>578</v>
      </c>
      <c r="H17" s="103" t="s">
        <v>579</v>
      </c>
      <c r="I17" s="103">
        <v>13</v>
      </c>
      <c r="J17" s="103" t="str">
        <f t="shared" si="2"/>
        <v>과장</v>
      </c>
      <c r="K17" s="1"/>
      <c r="L17" s="102">
        <v>6</v>
      </c>
    </row>
    <row r="18" spans="1:13">
      <c r="A18" s="154" t="s">
        <v>580</v>
      </c>
      <c r="B18" s="55" t="s">
        <v>581</v>
      </c>
      <c r="C18" s="102">
        <v>190.15</v>
      </c>
      <c r="D18" s="102" t="str">
        <f>CHOOSE(RANK(C18,$C$18:$C$23),"성과급","성과급","","","","감봉")</f>
        <v>성과급</v>
      </c>
      <c r="E18" s="1"/>
      <c r="F18" s="116" t="s">
        <v>706</v>
      </c>
      <c r="G18" s="153" t="s">
        <v>582</v>
      </c>
      <c r="H18" s="103" t="s">
        <v>573</v>
      </c>
      <c r="I18" s="103">
        <v>8</v>
      </c>
      <c r="J18" s="103" t="str">
        <f t="shared" si="2"/>
        <v>대리</v>
      </c>
      <c r="K18" s="1"/>
      <c r="L18" s="1"/>
      <c r="M18" s="1"/>
    </row>
    <row r="19" spans="1:13">
      <c r="A19" s="154" t="s">
        <v>583</v>
      </c>
      <c r="B19" s="55" t="s">
        <v>584</v>
      </c>
      <c r="C19" s="102">
        <v>166.93</v>
      </c>
      <c r="D19" s="102" t="str">
        <f t="shared" ref="D19:D23" si="3">CHOOSE(RANK(C19,$C$18:$C$23),"성과급","성과급","","","","감봉")</f>
        <v>감봉</v>
      </c>
      <c r="E19" s="1"/>
      <c r="F19" s="116" t="s">
        <v>707</v>
      </c>
      <c r="G19" s="153" t="s">
        <v>585</v>
      </c>
      <c r="H19" s="116" t="s">
        <v>579</v>
      </c>
      <c r="I19" s="103">
        <v>12</v>
      </c>
      <c r="J19" s="103" t="str">
        <f t="shared" si="2"/>
        <v>과장</v>
      </c>
      <c r="K19" s="1"/>
      <c r="L19" s="1"/>
      <c r="M19" s="1"/>
    </row>
    <row r="20" spans="1:13">
      <c r="A20" s="154" t="s">
        <v>586</v>
      </c>
      <c r="B20" s="55" t="s">
        <v>587</v>
      </c>
      <c r="C20" s="102">
        <v>182.54</v>
      </c>
      <c r="D20" s="102" t="str">
        <f t="shared" si="3"/>
        <v/>
      </c>
      <c r="E20" s="1"/>
      <c r="F20" s="116" t="s">
        <v>708</v>
      </c>
      <c r="G20" s="153" t="s">
        <v>588</v>
      </c>
      <c r="H20" s="116" t="s">
        <v>589</v>
      </c>
      <c r="I20" s="103">
        <v>4</v>
      </c>
      <c r="J20" s="103" t="str">
        <f t="shared" si="2"/>
        <v>사원</v>
      </c>
      <c r="K20" s="1"/>
      <c r="L20" s="1"/>
      <c r="M20" s="1"/>
    </row>
    <row r="21" spans="1:13">
      <c r="A21" s="154" t="s">
        <v>590</v>
      </c>
      <c r="B21" s="55" t="s">
        <v>591</v>
      </c>
      <c r="C21" s="102">
        <v>168.78</v>
      </c>
      <c r="D21" s="102" t="str">
        <f t="shared" si="3"/>
        <v/>
      </c>
      <c r="E21" s="1"/>
      <c r="F21" s="103" t="s">
        <v>709</v>
      </c>
      <c r="G21" s="153" t="s">
        <v>592</v>
      </c>
      <c r="H21" s="116" t="s">
        <v>589</v>
      </c>
      <c r="I21" s="103">
        <v>11</v>
      </c>
      <c r="J21" s="103" t="str">
        <f t="shared" si="2"/>
        <v>과장</v>
      </c>
      <c r="K21" s="1"/>
      <c r="L21" s="1"/>
      <c r="M21" s="1"/>
    </row>
    <row r="22" spans="1:13">
      <c r="A22" s="154" t="s">
        <v>593</v>
      </c>
      <c r="B22" s="55" t="s">
        <v>594</v>
      </c>
      <c r="C22" s="102">
        <v>191.54</v>
      </c>
      <c r="D22" s="102" t="str">
        <f t="shared" si="3"/>
        <v>성과급</v>
      </c>
      <c r="E22" s="1"/>
      <c r="F22" s="103" t="s">
        <v>710</v>
      </c>
      <c r="G22" s="153" t="s">
        <v>595</v>
      </c>
      <c r="H22" s="116" t="s">
        <v>589</v>
      </c>
      <c r="I22" s="103">
        <v>3</v>
      </c>
      <c r="J22" s="103" t="str">
        <f t="shared" si="2"/>
        <v>사원</v>
      </c>
      <c r="K22" s="1"/>
      <c r="L22" s="1"/>
      <c r="M22" s="1"/>
    </row>
    <row r="23" spans="1:13">
      <c r="A23" s="154" t="s">
        <v>596</v>
      </c>
      <c r="B23" s="55" t="s">
        <v>597</v>
      </c>
      <c r="C23" s="102">
        <v>170.58</v>
      </c>
      <c r="D23" s="102" t="str">
        <f t="shared" si="3"/>
        <v/>
      </c>
      <c r="E23" s="1"/>
      <c r="F23" s="103" t="s">
        <v>711</v>
      </c>
      <c r="G23" s="7" t="s">
        <v>598</v>
      </c>
      <c r="H23" s="116" t="s">
        <v>573</v>
      </c>
      <c r="I23" s="103">
        <v>15</v>
      </c>
      <c r="J23" s="103" t="str">
        <f t="shared" si="2"/>
        <v>부장</v>
      </c>
      <c r="K23" s="1"/>
      <c r="L23" s="1"/>
      <c r="M23" s="1"/>
    </row>
  </sheetData>
  <mergeCells count="1">
    <mergeCell ref="A12:D12"/>
  </mergeCells>
  <phoneticPr fontId="2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F13"/>
  <sheetViews>
    <sheetView workbookViewId="0">
      <selection activeCell="P8" sqref="P8"/>
    </sheetView>
  </sheetViews>
  <sheetFormatPr defaultRowHeight="16.5"/>
  <cols>
    <col min="1" max="16384" width="9" style="35"/>
  </cols>
  <sheetData>
    <row r="2" spans="1:6" ht="27.95" customHeight="1">
      <c r="A2" s="167"/>
      <c r="B2" s="167"/>
      <c r="C2" s="207" t="s">
        <v>738</v>
      </c>
      <c r="D2" s="207"/>
      <c r="E2" s="207"/>
      <c r="F2" s="207"/>
    </row>
    <row r="3" spans="1:6" ht="27.95" customHeight="1">
      <c r="A3" s="167"/>
      <c r="B3" s="168" t="s">
        <v>599</v>
      </c>
      <c r="C3" s="169"/>
      <c r="D3" s="169"/>
      <c r="E3" s="169"/>
      <c r="F3" s="169"/>
    </row>
    <row r="4" spans="1:6" ht="27.95" customHeight="1">
      <c r="A4" s="199" t="s">
        <v>739</v>
      </c>
      <c r="B4" s="169"/>
      <c r="C4" s="36" t="s">
        <v>740</v>
      </c>
      <c r="D4" s="36" t="s">
        <v>740</v>
      </c>
      <c r="E4" s="36" t="s">
        <v>740</v>
      </c>
      <c r="F4" s="36" t="s">
        <v>740</v>
      </c>
    </row>
    <row r="5" spans="1:6" ht="27.95" customHeight="1">
      <c r="A5" s="199"/>
      <c r="B5" s="169"/>
      <c r="C5" s="36" t="s">
        <v>740</v>
      </c>
      <c r="D5" s="36" t="s">
        <v>740</v>
      </c>
      <c r="E5" s="36" t="s">
        <v>740</v>
      </c>
      <c r="F5" s="36" t="s">
        <v>740</v>
      </c>
    </row>
    <row r="6" spans="1:6" ht="27.95" customHeight="1">
      <c r="A6" s="199"/>
      <c r="B6" s="169"/>
      <c r="C6" s="36" t="s">
        <v>740</v>
      </c>
      <c r="D6" s="36" t="s">
        <v>740</v>
      </c>
      <c r="E6" s="36" t="s">
        <v>740</v>
      </c>
      <c r="F6" s="36" t="s">
        <v>740</v>
      </c>
    </row>
    <row r="7" spans="1:6" ht="27.95" customHeight="1">
      <c r="A7" s="199"/>
      <c r="B7" s="169"/>
      <c r="C7" s="36" t="s">
        <v>740</v>
      </c>
      <c r="D7" s="36" t="s">
        <v>740</v>
      </c>
      <c r="E7" s="36" t="s">
        <v>740</v>
      </c>
      <c r="F7" s="36" t="s">
        <v>740</v>
      </c>
    </row>
    <row r="8" spans="1:6" ht="27.95" customHeight="1">
      <c r="A8" s="199"/>
      <c r="B8" s="169"/>
      <c r="C8" s="36" t="s">
        <v>740</v>
      </c>
      <c r="D8" s="36" t="s">
        <v>740</v>
      </c>
      <c r="E8" s="36" t="s">
        <v>740</v>
      </c>
      <c r="F8" s="36" t="s">
        <v>740</v>
      </c>
    </row>
    <row r="9" spans="1:6" ht="27.95" customHeight="1">
      <c r="A9" s="167"/>
      <c r="B9" s="167"/>
      <c r="C9" s="167"/>
      <c r="D9" s="167"/>
      <c r="E9" s="167"/>
      <c r="F9" s="167"/>
    </row>
    <row r="10" spans="1:6" ht="27.95" customHeight="1">
      <c r="A10" s="167"/>
      <c r="B10" s="200" t="s">
        <v>741</v>
      </c>
      <c r="C10" s="201"/>
      <c r="D10" s="202"/>
      <c r="E10" s="203"/>
      <c r="F10" s="204"/>
    </row>
    <row r="11" spans="1:6" ht="27.95" customHeight="1">
      <c r="A11" s="167"/>
      <c r="B11" s="200" t="s">
        <v>742</v>
      </c>
      <c r="C11" s="201"/>
      <c r="D11" s="202"/>
      <c r="E11" s="203"/>
      <c r="F11" s="204"/>
    </row>
    <row r="12" spans="1:6" ht="27.95" customHeight="1">
      <c r="A12" s="167"/>
      <c r="B12" s="205" t="s">
        <v>743</v>
      </c>
      <c r="C12" s="205"/>
      <c r="D12" s="205"/>
      <c r="E12" s="206"/>
      <c r="F12" s="206"/>
    </row>
    <row r="13" spans="1:6" ht="27.95" customHeight="1">
      <c r="A13" s="167"/>
      <c r="B13" s="205" t="s">
        <v>744</v>
      </c>
      <c r="C13" s="205"/>
      <c r="D13" s="205"/>
      <c r="E13" s="206"/>
      <c r="F13" s="206"/>
    </row>
  </sheetData>
  <mergeCells count="10">
    <mergeCell ref="B12:D12"/>
    <mergeCell ref="E12:F12"/>
    <mergeCell ref="B13:D13"/>
    <mergeCell ref="E13:F13"/>
    <mergeCell ref="C2:F2"/>
    <mergeCell ref="A4:A8"/>
    <mergeCell ref="B10:D10"/>
    <mergeCell ref="E10:F10"/>
    <mergeCell ref="B11:D11"/>
    <mergeCell ref="E11:F11"/>
  </mergeCells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3"/>
  <sheetViews>
    <sheetView workbookViewId="0">
      <selection activeCell="D13" sqref="D13"/>
    </sheetView>
  </sheetViews>
  <sheetFormatPr defaultRowHeight="16.5"/>
  <cols>
    <col min="1" max="1" width="18.625" customWidth="1"/>
    <col min="2" max="2" width="17" customWidth="1"/>
  </cols>
  <sheetData>
    <row r="1" spans="1:2">
      <c r="A1" s="26" t="s">
        <v>30</v>
      </c>
      <c r="B1" s="27"/>
    </row>
    <row r="2" spans="1:2">
      <c r="A2" s="26" t="s">
        <v>31</v>
      </c>
      <c r="B2" s="28"/>
    </row>
    <row r="4" spans="1:2">
      <c r="A4" s="29" t="s">
        <v>32</v>
      </c>
      <c r="B4" s="29" t="s">
        <v>33</v>
      </c>
    </row>
    <row r="5" spans="1:2">
      <c r="A5" s="26" t="s">
        <v>34</v>
      </c>
      <c r="B5" s="30"/>
    </row>
    <row r="6" spans="1:2">
      <c r="A6" s="26" t="s">
        <v>35</v>
      </c>
      <c r="B6" s="30"/>
    </row>
    <row r="7" spans="1:2">
      <c r="A7" s="26" t="s">
        <v>36</v>
      </c>
      <c r="B7" s="30"/>
    </row>
    <row r="8" spans="1:2">
      <c r="A8" s="26" t="s">
        <v>37</v>
      </c>
      <c r="B8" s="30"/>
    </row>
    <row r="9" spans="1:2">
      <c r="A9" s="26" t="s">
        <v>38</v>
      </c>
      <c r="B9" s="30"/>
    </row>
    <row r="10" spans="1:2">
      <c r="A10" s="26" t="s">
        <v>39</v>
      </c>
      <c r="B10" s="30"/>
    </row>
    <row r="11" spans="1:2">
      <c r="A11" s="26" t="s">
        <v>40</v>
      </c>
      <c r="B11" s="27"/>
    </row>
    <row r="12" spans="1:2">
      <c r="A12" s="26" t="s">
        <v>41</v>
      </c>
      <c r="B12" s="31"/>
    </row>
    <row r="13" spans="1:2">
      <c r="A13" s="26" t="s">
        <v>42</v>
      </c>
      <c r="B13" s="30"/>
    </row>
  </sheetData>
  <phoneticPr fontId="2" type="noConversion"/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F13"/>
  <sheetViews>
    <sheetView workbookViewId="0">
      <selection activeCell="B19" sqref="B19"/>
    </sheetView>
  </sheetViews>
  <sheetFormatPr defaultRowHeight="16.5"/>
  <sheetData>
    <row r="2" spans="1:6" ht="27.95" customHeight="1">
      <c r="A2" s="74"/>
      <c r="B2" s="74"/>
      <c r="C2" s="216" t="s">
        <v>514</v>
      </c>
      <c r="D2" s="216"/>
      <c r="E2" s="216"/>
      <c r="F2" s="216"/>
    </row>
    <row r="3" spans="1:6" ht="27.95" customHeight="1">
      <c r="A3" s="74"/>
      <c r="B3" s="146" t="s">
        <v>77</v>
      </c>
      <c r="C3" s="148">
        <f>COLUMN()-2</f>
        <v>1</v>
      </c>
      <c r="D3" s="148">
        <f t="shared" ref="D3:F3" si="0">COLUMN()-2</f>
        <v>2</v>
      </c>
      <c r="E3" s="148">
        <f t="shared" si="0"/>
        <v>3</v>
      </c>
      <c r="F3" s="148">
        <f t="shared" si="0"/>
        <v>4</v>
      </c>
    </row>
    <row r="4" spans="1:6" ht="27.95" customHeight="1">
      <c r="A4" s="208" t="s">
        <v>515</v>
      </c>
      <c r="B4" s="148">
        <f>ROW()-3</f>
        <v>1</v>
      </c>
      <c r="C4" s="29" t="s">
        <v>325</v>
      </c>
      <c r="D4" s="29" t="s">
        <v>325</v>
      </c>
      <c r="E4" s="29" t="s">
        <v>325</v>
      </c>
      <c r="F4" s="29" t="s">
        <v>325</v>
      </c>
    </row>
    <row r="5" spans="1:6" ht="27.95" customHeight="1">
      <c r="A5" s="208"/>
      <c r="B5" s="148">
        <f t="shared" ref="B5:B8" si="1">ROW()-3</f>
        <v>2</v>
      </c>
      <c r="C5" s="29" t="s">
        <v>325</v>
      </c>
      <c r="D5" s="29" t="s">
        <v>325</v>
      </c>
      <c r="E5" s="29" t="s">
        <v>325</v>
      </c>
      <c r="F5" s="29" t="s">
        <v>325</v>
      </c>
    </row>
    <row r="6" spans="1:6" ht="27.95" customHeight="1">
      <c r="A6" s="208"/>
      <c r="B6" s="148">
        <f t="shared" si="1"/>
        <v>3</v>
      </c>
      <c r="C6" s="29" t="s">
        <v>325</v>
      </c>
      <c r="D6" s="29" t="s">
        <v>325</v>
      </c>
      <c r="E6" s="29" t="s">
        <v>325</v>
      </c>
      <c r="F6" s="29" t="s">
        <v>325</v>
      </c>
    </row>
    <row r="7" spans="1:6" ht="27.95" customHeight="1">
      <c r="A7" s="208"/>
      <c r="B7" s="148">
        <f t="shared" si="1"/>
        <v>4</v>
      </c>
      <c r="C7" s="29" t="s">
        <v>325</v>
      </c>
      <c r="D7" s="29" t="s">
        <v>325</v>
      </c>
      <c r="E7" s="29" t="s">
        <v>325</v>
      </c>
      <c r="F7" s="29" t="s">
        <v>325</v>
      </c>
    </row>
    <row r="8" spans="1:6" ht="27.95" customHeight="1">
      <c r="A8" s="208"/>
      <c r="B8" s="148">
        <f t="shared" si="1"/>
        <v>5</v>
      </c>
      <c r="C8" s="29" t="s">
        <v>325</v>
      </c>
      <c r="D8" s="29" t="s">
        <v>325</v>
      </c>
      <c r="E8" s="29" t="s">
        <v>325</v>
      </c>
      <c r="F8" s="29" t="s">
        <v>325</v>
      </c>
    </row>
    <row r="9" spans="1:6" ht="27.95" customHeight="1">
      <c r="A9" s="74"/>
      <c r="B9" s="74"/>
      <c r="C9" s="74"/>
      <c r="D9" s="74"/>
      <c r="E9" s="74"/>
      <c r="F9" s="74"/>
    </row>
    <row r="10" spans="1:6" ht="27.95" customHeight="1">
      <c r="A10" s="74"/>
      <c r="B10" s="209" t="s">
        <v>516</v>
      </c>
      <c r="C10" s="210"/>
      <c r="D10" s="211"/>
      <c r="E10" s="212">
        <f>COLUMNS(B3:F8)</f>
        <v>5</v>
      </c>
      <c r="F10" s="213"/>
    </row>
    <row r="11" spans="1:6" ht="27.95" customHeight="1">
      <c r="A11" s="74"/>
      <c r="B11" s="209" t="s">
        <v>517</v>
      </c>
      <c r="C11" s="210"/>
      <c r="D11" s="211"/>
      <c r="E11" s="212">
        <f>ROWS(B3:F8)</f>
        <v>6</v>
      </c>
      <c r="F11" s="213"/>
    </row>
    <row r="12" spans="1:6" ht="27.95" customHeight="1">
      <c r="A12" s="74"/>
      <c r="B12" s="214" t="s">
        <v>518</v>
      </c>
      <c r="C12" s="214"/>
      <c r="D12" s="214"/>
      <c r="E12" s="215">
        <f>COLUMN(B2)</f>
        <v>2</v>
      </c>
      <c r="F12" s="215"/>
    </row>
    <row r="13" spans="1:6" ht="27.95" customHeight="1">
      <c r="A13" s="74"/>
      <c r="B13" s="214" t="s">
        <v>519</v>
      </c>
      <c r="C13" s="214"/>
      <c r="D13" s="214"/>
      <c r="E13" s="215">
        <f>ROW(B2)</f>
        <v>2</v>
      </c>
      <c r="F13" s="215"/>
    </row>
  </sheetData>
  <mergeCells count="10">
    <mergeCell ref="B12:D12"/>
    <mergeCell ref="E12:F12"/>
    <mergeCell ref="B13:D13"/>
    <mergeCell ref="E13:F13"/>
    <mergeCell ref="C2:F2"/>
    <mergeCell ref="A4:A8"/>
    <mergeCell ref="B10:D10"/>
    <mergeCell ref="E10:F10"/>
    <mergeCell ref="B11:D11"/>
    <mergeCell ref="E11:F11"/>
  </mergeCells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3"/>
  <sheetViews>
    <sheetView workbookViewId="0"/>
  </sheetViews>
  <sheetFormatPr defaultRowHeight="16.5"/>
  <cols>
    <col min="1" max="1" width="18.625" customWidth="1"/>
    <col min="2" max="2" width="17" customWidth="1"/>
  </cols>
  <sheetData>
    <row r="1" spans="1:2">
      <c r="A1" s="26" t="s">
        <v>30</v>
      </c>
      <c r="B1" s="27">
        <f ca="1">TODAY()</f>
        <v>43774</v>
      </c>
    </row>
    <row r="2" spans="1:2">
      <c r="A2" s="26" t="s">
        <v>31</v>
      </c>
      <c r="B2" s="28">
        <f ca="1">NOW()</f>
        <v>43774.95317523148</v>
      </c>
    </row>
    <row r="4" spans="1:2">
      <c r="A4" s="29" t="s">
        <v>32</v>
      </c>
      <c r="B4" s="29" t="s">
        <v>33</v>
      </c>
    </row>
    <row r="5" spans="1:2">
      <c r="A5" s="26" t="s">
        <v>34</v>
      </c>
      <c r="B5" s="32">
        <f ca="1">YEAR(B2)</f>
        <v>2019</v>
      </c>
    </row>
    <row r="6" spans="1:2">
      <c r="A6" s="26" t="s">
        <v>35</v>
      </c>
      <c r="B6" s="30">
        <f ca="1">MONTH(B2)</f>
        <v>11</v>
      </c>
    </row>
    <row r="7" spans="1:2">
      <c r="A7" s="26" t="s">
        <v>36</v>
      </c>
      <c r="B7" s="30">
        <f ca="1">DAY(B2)</f>
        <v>5</v>
      </c>
    </row>
    <row r="8" spans="1:2">
      <c r="A8" s="26" t="s">
        <v>37</v>
      </c>
      <c r="B8" s="30">
        <f ca="1">HOUR(B2)</f>
        <v>22</v>
      </c>
    </row>
    <row r="9" spans="1:2">
      <c r="A9" s="26" t="s">
        <v>38</v>
      </c>
      <c r="B9" s="30">
        <f ca="1">MINUTE(B2)</f>
        <v>52</v>
      </c>
    </row>
    <row r="10" spans="1:2">
      <c r="A10" s="26" t="s">
        <v>39</v>
      </c>
      <c r="B10" s="30">
        <f ca="1">SECOND(B2)</f>
        <v>34</v>
      </c>
    </row>
    <row r="11" spans="1:2">
      <c r="A11" s="26" t="s">
        <v>40</v>
      </c>
      <c r="B11" s="27">
        <f ca="1">DATE(B5,B6,B7)</f>
        <v>43774</v>
      </c>
    </row>
    <row r="12" spans="1:2">
      <c r="A12" s="26" t="s">
        <v>41</v>
      </c>
      <c r="B12" s="31">
        <f ca="1">TIME(B8,B9,B10)</f>
        <v>0.95317129629629627</v>
      </c>
    </row>
    <row r="13" spans="1:2">
      <c r="A13" s="26" t="s">
        <v>42</v>
      </c>
      <c r="B13" s="30">
        <f ca="1">WEEKDAY(B2)</f>
        <v>3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7"/>
  <sheetViews>
    <sheetView workbookViewId="0">
      <selection activeCell="A18" sqref="A18"/>
    </sheetView>
  </sheetViews>
  <sheetFormatPr defaultRowHeight="16.5"/>
  <cols>
    <col min="1" max="1" width="9.875" style="35" bestFit="1" customWidth="1"/>
    <col min="2" max="2" width="11" style="35" bestFit="1" customWidth="1"/>
    <col min="3" max="3" width="13.5" style="35" customWidth="1"/>
    <col min="4" max="4" width="15.5" style="35" bestFit="1" customWidth="1"/>
    <col min="5" max="5" width="19.875" style="35" bestFit="1" customWidth="1"/>
    <col min="6" max="16384" width="9" style="35"/>
  </cols>
  <sheetData>
    <row r="2" spans="1:5">
      <c r="A2" s="35" t="s">
        <v>43</v>
      </c>
    </row>
    <row r="3" spans="1:5">
      <c r="A3" s="36" t="s">
        <v>44</v>
      </c>
      <c r="B3" s="36" t="s">
        <v>45</v>
      </c>
      <c r="C3" s="36" t="s">
        <v>46</v>
      </c>
      <c r="D3" s="37" t="s">
        <v>47</v>
      </c>
      <c r="E3" s="37" t="s">
        <v>48</v>
      </c>
    </row>
    <row r="4" spans="1:5">
      <c r="A4" s="38">
        <v>43586</v>
      </c>
      <c r="B4" s="36" t="s">
        <v>49</v>
      </c>
      <c r="C4" s="34">
        <v>170000</v>
      </c>
      <c r="D4" s="38"/>
      <c r="E4" s="38"/>
    </row>
    <row r="5" spans="1:5">
      <c r="A5" s="38">
        <v>43600</v>
      </c>
      <c r="B5" s="36" t="s">
        <v>50</v>
      </c>
      <c r="C5" s="34">
        <v>1200000</v>
      </c>
      <c r="D5" s="38"/>
      <c r="E5" s="38"/>
    </row>
    <row r="6" spans="1:5">
      <c r="A6" s="38">
        <v>43618</v>
      </c>
      <c r="B6" s="36" t="s">
        <v>51</v>
      </c>
      <c r="C6" s="34">
        <v>500000</v>
      </c>
      <c r="D6" s="38"/>
      <c r="E6" s="38"/>
    </row>
    <row r="7" spans="1:5">
      <c r="A7" s="38">
        <v>43636</v>
      </c>
      <c r="B7" s="36" t="s">
        <v>52</v>
      </c>
      <c r="C7" s="34">
        <v>380000</v>
      </c>
      <c r="D7" s="38"/>
      <c r="E7" s="38"/>
    </row>
    <row r="8" spans="1:5">
      <c r="A8" s="38">
        <v>43651</v>
      </c>
      <c r="B8" s="36" t="s">
        <v>53</v>
      </c>
      <c r="C8" s="34">
        <v>1500000</v>
      </c>
      <c r="D8" s="38"/>
      <c r="E8" s="38"/>
    </row>
    <row r="9" spans="1:5">
      <c r="A9" s="38">
        <v>43664</v>
      </c>
      <c r="B9" s="36" t="s">
        <v>54</v>
      </c>
      <c r="C9" s="34">
        <v>120000</v>
      </c>
      <c r="D9" s="38"/>
      <c r="E9" s="38"/>
    </row>
    <row r="11" spans="1:5">
      <c r="A11" s="35" t="s">
        <v>55</v>
      </c>
    </row>
    <row r="12" spans="1:5">
      <c r="A12" s="36" t="s">
        <v>56</v>
      </c>
      <c r="B12" s="39" t="s">
        <v>57</v>
      </c>
      <c r="C12" s="37" t="s">
        <v>58</v>
      </c>
    </row>
    <row r="13" spans="1:5">
      <c r="A13" s="38">
        <v>43747</v>
      </c>
      <c r="B13" s="36">
        <v>3</v>
      </c>
      <c r="C13" s="38"/>
    </row>
    <row r="14" spans="1:5">
      <c r="A14" s="38">
        <v>43758</v>
      </c>
      <c r="B14" s="36">
        <v>2</v>
      </c>
      <c r="C14" s="38"/>
    </row>
    <row r="15" spans="1:5">
      <c r="A15" s="38">
        <v>43769</v>
      </c>
      <c r="B15" s="36">
        <v>5</v>
      </c>
      <c r="C15" s="38"/>
    </row>
    <row r="16" spans="1:5">
      <c r="A16" s="38">
        <v>43774</v>
      </c>
      <c r="B16" s="36">
        <v>3</v>
      </c>
      <c r="C16" s="38"/>
    </row>
    <row r="17" spans="1:3">
      <c r="A17" s="38">
        <v>43789</v>
      </c>
      <c r="B17" s="36">
        <v>4</v>
      </c>
      <c r="C17" s="38"/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7"/>
  <sheetViews>
    <sheetView workbookViewId="0">
      <selection activeCell="E15" sqref="E15"/>
    </sheetView>
  </sheetViews>
  <sheetFormatPr defaultRowHeight="16.5"/>
  <cols>
    <col min="1" max="1" width="9.875" style="35" bestFit="1" customWidth="1"/>
    <col min="2" max="2" width="11" style="35" bestFit="1" customWidth="1"/>
    <col min="3" max="3" width="13.5" style="35" customWidth="1"/>
    <col min="4" max="4" width="15.5" style="35" bestFit="1" customWidth="1"/>
    <col min="5" max="5" width="19.875" style="35" bestFit="1" customWidth="1"/>
    <col min="6" max="16384" width="9" style="35"/>
  </cols>
  <sheetData>
    <row r="2" spans="1:5">
      <c r="A2" s="35" t="s">
        <v>43</v>
      </c>
    </row>
    <row r="3" spans="1:5">
      <c r="A3" s="36" t="s">
        <v>44</v>
      </c>
      <c r="B3" s="36" t="s">
        <v>45</v>
      </c>
      <c r="C3" s="36" t="s">
        <v>46</v>
      </c>
      <c r="D3" s="37" t="s">
        <v>47</v>
      </c>
      <c r="E3" s="37" t="s">
        <v>48</v>
      </c>
    </row>
    <row r="4" spans="1:5">
      <c r="A4" s="38">
        <v>43586</v>
      </c>
      <c r="B4" s="36" t="s">
        <v>49</v>
      </c>
      <c r="C4" s="34">
        <v>170000</v>
      </c>
      <c r="D4" s="33">
        <f>EDATE(A4,3)</f>
        <v>43678</v>
      </c>
      <c r="E4" s="33">
        <f>EOMONTH(A4,3)</f>
        <v>43708</v>
      </c>
    </row>
    <row r="5" spans="1:5">
      <c r="A5" s="38">
        <v>43600</v>
      </c>
      <c r="B5" s="36" t="s">
        <v>50</v>
      </c>
      <c r="C5" s="34">
        <v>1200000</v>
      </c>
      <c r="D5" s="33">
        <f t="shared" ref="D5:D9" si="0">EDATE(A5,3)</f>
        <v>43692</v>
      </c>
      <c r="E5" s="33">
        <f t="shared" ref="E5:E9" si="1">EOMONTH(A5,3)</f>
        <v>43708</v>
      </c>
    </row>
    <row r="6" spans="1:5">
      <c r="A6" s="38">
        <v>43618</v>
      </c>
      <c r="B6" s="36" t="s">
        <v>51</v>
      </c>
      <c r="C6" s="34">
        <v>500000</v>
      </c>
      <c r="D6" s="33">
        <f t="shared" si="0"/>
        <v>43710</v>
      </c>
      <c r="E6" s="33">
        <f t="shared" si="1"/>
        <v>43738</v>
      </c>
    </row>
    <row r="7" spans="1:5">
      <c r="A7" s="38">
        <v>43636</v>
      </c>
      <c r="B7" s="36" t="s">
        <v>52</v>
      </c>
      <c r="C7" s="34">
        <v>380000</v>
      </c>
      <c r="D7" s="33">
        <f t="shared" si="0"/>
        <v>43728</v>
      </c>
      <c r="E7" s="33">
        <f t="shared" si="1"/>
        <v>43738</v>
      </c>
    </row>
    <row r="8" spans="1:5">
      <c r="A8" s="38">
        <v>43651</v>
      </c>
      <c r="B8" s="36" t="s">
        <v>53</v>
      </c>
      <c r="C8" s="34">
        <v>1500000</v>
      </c>
      <c r="D8" s="33">
        <f t="shared" si="0"/>
        <v>43743</v>
      </c>
      <c r="E8" s="33">
        <f t="shared" si="1"/>
        <v>43769</v>
      </c>
    </row>
    <row r="9" spans="1:5">
      <c r="A9" s="38">
        <v>43664</v>
      </c>
      <c r="B9" s="36" t="s">
        <v>54</v>
      </c>
      <c r="C9" s="34">
        <v>120000</v>
      </c>
      <c r="D9" s="33">
        <f t="shared" si="0"/>
        <v>43756</v>
      </c>
      <c r="E9" s="33">
        <f t="shared" si="1"/>
        <v>43769</v>
      </c>
    </row>
    <row r="11" spans="1:5">
      <c r="A11" s="35" t="s">
        <v>55</v>
      </c>
    </row>
    <row r="12" spans="1:5">
      <c r="A12" s="36" t="s">
        <v>56</v>
      </c>
      <c r="B12" s="39" t="s">
        <v>57</v>
      </c>
      <c r="C12" s="37" t="s">
        <v>58</v>
      </c>
    </row>
    <row r="13" spans="1:5">
      <c r="A13" s="38">
        <v>43747</v>
      </c>
      <c r="B13" s="36">
        <v>3</v>
      </c>
      <c r="C13" s="33">
        <f>WORKDAY(A13,B13)</f>
        <v>43752</v>
      </c>
    </row>
    <row r="14" spans="1:5">
      <c r="A14" s="38">
        <v>43758</v>
      </c>
      <c r="B14" s="36">
        <v>2</v>
      </c>
      <c r="C14" s="33">
        <f t="shared" ref="C14:C17" si="2">WORKDAY(A14,B14)</f>
        <v>43760</v>
      </c>
    </row>
    <row r="15" spans="1:5">
      <c r="A15" s="38">
        <v>43769</v>
      </c>
      <c r="B15" s="36">
        <v>5</v>
      </c>
      <c r="C15" s="33">
        <f t="shared" si="2"/>
        <v>43776</v>
      </c>
    </row>
    <row r="16" spans="1:5">
      <c r="A16" s="38">
        <v>43774</v>
      </c>
      <c r="B16" s="36">
        <v>3</v>
      </c>
      <c r="C16" s="33">
        <f t="shared" si="2"/>
        <v>43777</v>
      </c>
    </row>
    <row r="17" spans="1:3">
      <c r="A17" s="38">
        <v>43789</v>
      </c>
      <c r="B17" s="36">
        <v>4</v>
      </c>
      <c r="C17" s="33">
        <f t="shared" si="2"/>
        <v>43795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4"/>
  <sheetViews>
    <sheetView topLeftCell="B1" workbookViewId="0">
      <selection activeCell="M19" sqref="M19"/>
    </sheetView>
  </sheetViews>
  <sheetFormatPr defaultRowHeight="16.5"/>
  <cols>
    <col min="1" max="1" width="9" style="47"/>
    <col min="2" max="2" width="11.5" style="47" bestFit="1" customWidth="1"/>
    <col min="3" max="3" width="11.125" style="47" bestFit="1" customWidth="1"/>
    <col min="4" max="4" width="11.25" style="47" bestFit="1" customWidth="1"/>
    <col min="5" max="5" width="3.125" style="47" customWidth="1"/>
    <col min="6" max="12" width="9" style="47"/>
    <col min="13" max="13" width="11.125" style="47" bestFit="1" customWidth="1"/>
    <col min="14" max="16384" width="9" style="47"/>
  </cols>
  <sheetData>
    <row r="1" spans="1:10">
      <c r="A1" s="47" t="s">
        <v>77</v>
      </c>
      <c r="F1" s="47" t="s">
        <v>78</v>
      </c>
    </row>
    <row r="2" spans="1:10">
      <c r="A2" s="24" t="s">
        <v>79</v>
      </c>
      <c r="B2" s="24" t="s">
        <v>80</v>
      </c>
      <c r="C2" s="24" t="s">
        <v>81</v>
      </c>
      <c r="D2" s="22" t="s">
        <v>82</v>
      </c>
      <c r="F2" s="25" t="s">
        <v>79</v>
      </c>
      <c r="G2" s="41" t="s">
        <v>60</v>
      </c>
      <c r="H2" s="25" t="s">
        <v>83</v>
      </c>
      <c r="I2" s="22" t="s">
        <v>84</v>
      </c>
    </row>
    <row r="3" spans="1:10">
      <c r="A3" s="25">
        <v>1001</v>
      </c>
      <c r="B3" s="25" t="s">
        <v>85</v>
      </c>
      <c r="C3" s="7">
        <v>78</v>
      </c>
      <c r="D3" s="25"/>
      <c r="F3" s="25">
        <v>1001</v>
      </c>
      <c r="G3" s="41" t="s">
        <v>86</v>
      </c>
      <c r="H3" s="25">
        <v>95</v>
      </c>
      <c r="I3" s="25"/>
    </row>
    <row r="4" spans="1:10">
      <c r="A4" s="25">
        <v>1002</v>
      </c>
      <c r="B4" s="25" t="s">
        <v>87</v>
      </c>
      <c r="C4" s="7">
        <v>65</v>
      </c>
      <c r="D4" s="25"/>
      <c r="F4" s="25">
        <v>1002</v>
      </c>
      <c r="G4" s="41" t="s">
        <v>88</v>
      </c>
      <c r="H4" s="25">
        <v>74</v>
      </c>
      <c r="I4" s="25"/>
    </row>
    <row r="5" spans="1:10">
      <c r="A5" s="25">
        <v>1003</v>
      </c>
      <c r="B5" s="25" t="s">
        <v>89</v>
      </c>
      <c r="C5" s="7">
        <v>80</v>
      </c>
      <c r="D5" s="25"/>
      <c r="F5" s="25">
        <v>1003</v>
      </c>
      <c r="G5" s="41" t="s">
        <v>90</v>
      </c>
      <c r="H5" s="25">
        <v>85</v>
      </c>
      <c r="I5" s="25"/>
    </row>
    <row r="6" spans="1:10">
      <c r="A6" s="25">
        <v>1004</v>
      </c>
      <c r="B6" s="25" t="s">
        <v>91</v>
      </c>
      <c r="C6" s="7">
        <v>90</v>
      </c>
      <c r="D6" s="25"/>
      <c r="F6" s="25">
        <v>1004</v>
      </c>
      <c r="G6" s="41" t="s">
        <v>92</v>
      </c>
      <c r="H6" s="25">
        <v>88</v>
      </c>
      <c r="I6" s="25"/>
    </row>
    <row r="7" spans="1:10">
      <c r="A7" s="25">
        <v>1005</v>
      </c>
      <c r="B7" s="25" t="s">
        <v>93</v>
      </c>
      <c r="C7" s="7">
        <v>52</v>
      </c>
      <c r="D7" s="25"/>
      <c r="F7" s="25">
        <v>1005</v>
      </c>
      <c r="G7" s="41" t="s">
        <v>94</v>
      </c>
      <c r="H7" s="25">
        <v>60</v>
      </c>
      <c r="I7" s="25"/>
    </row>
    <row r="8" spans="1:10">
      <c r="A8" s="25">
        <v>1006</v>
      </c>
      <c r="B8" s="25" t="s">
        <v>95</v>
      </c>
      <c r="C8" s="7">
        <v>42</v>
      </c>
      <c r="D8" s="25"/>
      <c r="F8" s="25">
        <v>1006</v>
      </c>
      <c r="G8" s="41" t="s">
        <v>96</v>
      </c>
      <c r="H8" s="25">
        <v>92</v>
      </c>
      <c r="I8" s="25"/>
    </row>
    <row r="9" spans="1:10">
      <c r="A9" s="25">
        <v>1007</v>
      </c>
      <c r="B9" s="25" t="s">
        <v>97</v>
      </c>
      <c r="C9" s="7">
        <v>80</v>
      </c>
      <c r="D9" s="25"/>
      <c r="F9" s="25">
        <v>1007</v>
      </c>
      <c r="G9" s="41" t="s">
        <v>98</v>
      </c>
      <c r="H9" s="25">
        <v>72</v>
      </c>
      <c r="I9" s="25"/>
    </row>
    <row r="10" spans="1:10">
      <c r="A10" s="25">
        <v>1008</v>
      </c>
      <c r="B10" s="25" t="s">
        <v>99</v>
      </c>
      <c r="C10" s="7">
        <v>69</v>
      </c>
      <c r="D10" s="25"/>
    </row>
    <row r="11" spans="1:10">
      <c r="A11" s="25">
        <v>1009</v>
      </c>
      <c r="B11" s="25" t="s">
        <v>100</v>
      </c>
      <c r="C11" s="7">
        <v>75</v>
      </c>
      <c r="D11" s="25"/>
    </row>
    <row r="13" spans="1:10">
      <c r="A13" s="47" t="s">
        <v>101</v>
      </c>
      <c r="F13" s="47" t="s">
        <v>102</v>
      </c>
      <c r="G13" s="48"/>
      <c r="H13" s="48"/>
      <c r="I13" s="48"/>
      <c r="J13" s="48"/>
    </row>
    <row r="14" spans="1:10">
      <c r="A14" s="25" t="s">
        <v>103</v>
      </c>
      <c r="B14" s="41" t="s">
        <v>104</v>
      </c>
      <c r="C14" s="41" t="s">
        <v>105</v>
      </c>
      <c r="D14" s="22" t="s">
        <v>106</v>
      </c>
      <c r="F14" s="49" t="s">
        <v>107</v>
      </c>
      <c r="G14" s="41" t="s">
        <v>108</v>
      </c>
      <c r="H14" s="41" t="s">
        <v>109</v>
      </c>
      <c r="I14" s="41" t="s">
        <v>110</v>
      </c>
      <c r="J14" s="50" t="s">
        <v>82</v>
      </c>
    </row>
    <row r="15" spans="1:10">
      <c r="A15" s="25" t="s">
        <v>61</v>
      </c>
      <c r="B15" s="42">
        <v>10</v>
      </c>
      <c r="C15" s="42">
        <v>100000</v>
      </c>
      <c r="D15" s="42"/>
      <c r="F15" s="49">
        <v>2002001</v>
      </c>
      <c r="G15" s="49" t="s">
        <v>111</v>
      </c>
      <c r="H15" s="49">
        <v>77</v>
      </c>
      <c r="I15" s="49">
        <v>86</v>
      </c>
      <c r="J15" s="41"/>
    </row>
    <row r="16" spans="1:10">
      <c r="A16" s="25" t="s">
        <v>62</v>
      </c>
      <c r="B16" s="42">
        <v>17</v>
      </c>
      <c r="C16" s="42">
        <v>150000</v>
      </c>
      <c r="D16" s="42"/>
      <c r="F16" s="49">
        <v>2002002</v>
      </c>
      <c r="G16" s="49" t="s">
        <v>112</v>
      </c>
      <c r="H16" s="49">
        <v>56</v>
      </c>
      <c r="I16" s="49">
        <v>100</v>
      </c>
      <c r="J16" s="41"/>
    </row>
    <row r="17" spans="1:10">
      <c r="A17" s="25" t="s">
        <v>63</v>
      </c>
      <c r="B17" s="42">
        <v>15</v>
      </c>
      <c r="C17" s="42">
        <v>50000</v>
      </c>
      <c r="D17" s="42"/>
      <c r="F17" s="49">
        <v>2002003</v>
      </c>
      <c r="G17" s="49" t="s">
        <v>113</v>
      </c>
      <c r="H17" s="49">
        <v>76</v>
      </c>
      <c r="I17" s="49">
        <v>84</v>
      </c>
      <c r="J17" s="41"/>
    </row>
    <row r="18" spans="1:10">
      <c r="A18" s="25" t="s">
        <v>64</v>
      </c>
      <c r="B18" s="42">
        <v>25</v>
      </c>
      <c r="C18" s="42">
        <v>65000</v>
      </c>
      <c r="D18" s="42"/>
      <c r="F18" s="49">
        <v>2002004</v>
      </c>
      <c r="G18" s="49" t="s">
        <v>114</v>
      </c>
      <c r="H18" s="49">
        <v>56</v>
      </c>
      <c r="I18" s="49">
        <v>78</v>
      </c>
      <c r="J18" s="41"/>
    </row>
    <row r="19" spans="1:10">
      <c r="A19" s="25" t="s">
        <v>65</v>
      </c>
      <c r="B19" s="42">
        <v>15</v>
      </c>
      <c r="C19" s="42">
        <v>134000</v>
      </c>
      <c r="D19" s="42"/>
      <c r="F19" s="49">
        <v>2002005</v>
      </c>
      <c r="G19" s="49" t="s">
        <v>115</v>
      </c>
      <c r="H19" s="49">
        <v>88</v>
      </c>
      <c r="I19" s="49">
        <v>96</v>
      </c>
      <c r="J19" s="41"/>
    </row>
    <row r="20" spans="1:10">
      <c r="A20" s="25" t="s">
        <v>66</v>
      </c>
      <c r="B20" s="42">
        <v>9</v>
      </c>
      <c r="C20" s="42">
        <v>74000</v>
      </c>
      <c r="D20" s="42"/>
      <c r="F20" s="49">
        <v>2002006</v>
      </c>
      <c r="G20" s="49" t="s">
        <v>116</v>
      </c>
      <c r="H20" s="49">
        <v>78</v>
      </c>
      <c r="I20" s="49">
        <v>56</v>
      </c>
      <c r="J20" s="41"/>
    </row>
    <row r="21" spans="1:10">
      <c r="A21" s="25" t="s">
        <v>67</v>
      </c>
      <c r="B21" s="42">
        <v>12</v>
      </c>
      <c r="C21" s="42">
        <v>95000</v>
      </c>
      <c r="D21" s="42"/>
      <c r="F21" s="49">
        <v>2002007</v>
      </c>
      <c r="G21" s="49" t="s">
        <v>117</v>
      </c>
      <c r="H21" s="49">
        <v>67</v>
      </c>
      <c r="I21" s="49">
        <v>78</v>
      </c>
      <c r="J21" s="41"/>
    </row>
    <row r="22" spans="1:10">
      <c r="F22" s="49">
        <v>2002008</v>
      </c>
      <c r="G22" s="49" t="s">
        <v>118</v>
      </c>
      <c r="H22" s="49">
        <v>100</v>
      </c>
      <c r="I22" s="49">
        <v>86</v>
      </c>
      <c r="J22" s="41"/>
    </row>
    <row r="23" spans="1:10">
      <c r="A23" s="43" t="s">
        <v>119</v>
      </c>
      <c r="F23" s="49">
        <v>2002009</v>
      </c>
      <c r="G23" s="49" t="s">
        <v>120</v>
      </c>
      <c r="H23" s="49">
        <v>42</v>
      </c>
      <c r="I23" s="49">
        <v>56</v>
      </c>
      <c r="J23" s="41"/>
    </row>
    <row r="24" spans="1:10">
      <c r="A24" s="173" t="s">
        <v>108</v>
      </c>
      <c r="B24" s="173" t="s">
        <v>121</v>
      </c>
      <c r="C24" s="173" t="s">
        <v>122</v>
      </c>
      <c r="D24" s="173"/>
    </row>
    <row r="25" spans="1:10">
      <c r="A25" s="173"/>
      <c r="B25" s="173"/>
      <c r="C25" s="25" t="s">
        <v>123</v>
      </c>
      <c r="D25" s="44" t="s">
        <v>124</v>
      </c>
    </row>
    <row r="26" spans="1:10">
      <c r="A26" s="25" t="s">
        <v>68</v>
      </c>
      <c r="B26" s="51">
        <v>1850000</v>
      </c>
      <c r="C26" s="45">
        <v>2</v>
      </c>
      <c r="D26" s="46"/>
    </row>
    <row r="27" spans="1:10">
      <c r="A27" s="25" t="s">
        <v>69</v>
      </c>
      <c r="B27" s="51">
        <v>1570000</v>
      </c>
      <c r="C27" s="45">
        <v>1</v>
      </c>
      <c r="D27" s="46"/>
    </row>
    <row r="28" spans="1:10">
      <c r="A28" s="25" t="s">
        <v>70</v>
      </c>
      <c r="B28" s="51">
        <v>1330000</v>
      </c>
      <c r="C28" s="45">
        <v>2</v>
      </c>
      <c r="D28" s="46"/>
    </row>
    <row r="29" spans="1:10">
      <c r="A29" s="25" t="s">
        <v>71</v>
      </c>
      <c r="B29" s="51">
        <v>1420000</v>
      </c>
      <c r="C29" s="45">
        <v>2</v>
      </c>
      <c r="D29" s="46"/>
    </row>
    <row r="30" spans="1:10">
      <c r="A30" s="25" t="s">
        <v>72</v>
      </c>
      <c r="B30" s="51">
        <v>1100000</v>
      </c>
      <c r="C30" s="45" t="s">
        <v>125</v>
      </c>
      <c r="D30" s="46"/>
    </row>
    <row r="31" spans="1:10">
      <c r="A31" s="25" t="s">
        <v>73</v>
      </c>
      <c r="B31" s="51">
        <v>1390000</v>
      </c>
      <c r="C31" s="45">
        <v>1</v>
      </c>
      <c r="D31" s="46"/>
    </row>
    <row r="32" spans="1:10">
      <c r="A32" s="25" t="s">
        <v>74</v>
      </c>
      <c r="B32" s="51">
        <v>1240000</v>
      </c>
      <c r="C32" s="45" t="s">
        <v>126</v>
      </c>
      <c r="D32" s="46"/>
    </row>
    <row r="33" spans="1:4">
      <c r="A33" s="25" t="s">
        <v>75</v>
      </c>
      <c r="B33" s="51">
        <v>1480000</v>
      </c>
      <c r="C33" s="45">
        <v>2</v>
      </c>
      <c r="D33" s="46"/>
    </row>
    <row r="34" spans="1:4">
      <c r="A34" s="25" t="s">
        <v>76</v>
      </c>
      <c r="B34" s="51">
        <v>1350000</v>
      </c>
      <c r="C34" s="45">
        <v>0</v>
      </c>
      <c r="D34" s="46"/>
    </row>
  </sheetData>
  <mergeCells count="3">
    <mergeCell ref="A24:A25"/>
    <mergeCell ref="B24:B25"/>
    <mergeCell ref="C24:D24"/>
  </mergeCells>
  <phoneticPr fontId="2" type="noConversion"/>
  <conditionalFormatting sqref="G3:G9">
    <cfRule type="expression" dxfId="1" priority="1" stopIfTrue="1">
      <formula>#REF!&gt;=95</formula>
    </cfRule>
  </conditionalFormatting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4"/>
  <sheetViews>
    <sheetView workbookViewId="0"/>
  </sheetViews>
  <sheetFormatPr defaultRowHeight="16.5"/>
  <cols>
    <col min="1" max="1" width="9" style="47"/>
    <col min="2" max="2" width="11.5" style="47" bestFit="1" customWidth="1"/>
    <col min="3" max="3" width="11.125" style="47" bestFit="1" customWidth="1"/>
    <col min="4" max="4" width="11.25" style="47" bestFit="1" customWidth="1"/>
    <col min="5" max="5" width="3.125" style="47" customWidth="1"/>
    <col min="6" max="12" width="9" style="47"/>
    <col min="13" max="13" width="11.125" style="47" bestFit="1" customWidth="1"/>
    <col min="14" max="16384" width="9" style="47"/>
  </cols>
  <sheetData>
    <row r="1" spans="1:10">
      <c r="A1" s="47" t="s">
        <v>77</v>
      </c>
      <c r="F1" s="47" t="s">
        <v>78</v>
      </c>
    </row>
    <row r="2" spans="1:10">
      <c r="A2" s="24" t="s">
        <v>79</v>
      </c>
      <c r="B2" s="24" t="s">
        <v>80</v>
      </c>
      <c r="C2" s="24" t="s">
        <v>81</v>
      </c>
      <c r="D2" s="22" t="s">
        <v>82</v>
      </c>
      <c r="F2" s="25" t="s">
        <v>79</v>
      </c>
      <c r="G2" s="41" t="s">
        <v>60</v>
      </c>
      <c r="H2" s="25" t="s">
        <v>83</v>
      </c>
      <c r="I2" s="22" t="s">
        <v>84</v>
      </c>
    </row>
    <row r="3" spans="1:10">
      <c r="A3" s="25">
        <v>1001</v>
      </c>
      <c r="B3" s="25" t="s">
        <v>85</v>
      </c>
      <c r="C3" s="7">
        <v>78</v>
      </c>
      <c r="D3" s="25" t="str">
        <f>IF(C3&gt;=70,"합격","불합격")</f>
        <v>합격</v>
      </c>
      <c r="F3" s="25">
        <v>1001</v>
      </c>
      <c r="G3" s="41" t="s">
        <v>86</v>
      </c>
      <c r="H3" s="25">
        <v>95</v>
      </c>
      <c r="I3" s="25" t="str">
        <f>IF(H3&gt;=90,"기획부",IF(H3&gt;=80,"총무부","영업부"))</f>
        <v>기획부</v>
      </c>
    </row>
    <row r="4" spans="1:10">
      <c r="A4" s="25">
        <v>1002</v>
      </c>
      <c r="B4" s="25" t="s">
        <v>87</v>
      </c>
      <c r="C4" s="7">
        <v>65</v>
      </c>
      <c r="D4" s="25" t="str">
        <f t="shared" ref="D4:D11" si="0">IF(C4&gt;=70,"합격","불합격")</f>
        <v>불합격</v>
      </c>
      <c r="F4" s="25">
        <v>1002</v>
      </c>
      <c r="G4" s="41" t="s">
        <v>88</v>
      </c>
      <c r="H4" s="25">
        <v>74</v>
      </c>
      <c r="I4" s="25" t="str">
        <f t="shared" ref="I4:I9" si="1">IF(H4&gt;=90,"기획부",IF(H4&gt;=80,"총무부","영업부"))</f>
        <v>영업부</v>
      </c>
    </row>
    <row r="5" spans="1:10">
      <c r="A5" s="25">
        <v>1003</v>
      </c>
      <c r="B5" s="25" t="s">
        <v>89</v>
      </c>
      <c r="C5" s="7">
        <v>80</v>
      </c>
      <c r="D5" s="25" t="str">
        <f t="shared" si="0"/>
        <v>합격</v>
      </c>
      <c r="F5" s="25">
        <v>1003</v>
      </c>
      <c r="G5" s="41" t="s">
        <v>90</v>
      </c>
      <c r="H5" s="25">
        <v>85</v>
      </c>
      <c r="I5" s="25" t="str">
        <f t="shared" si="1"/>
        <v>총무부</v>
      </c>
    </row>
    <row r="6" spans="1:10">
      <c r="A6" s="25">
        <v>1004</v>
      </c>
      <c r="B6" s="25" t="s">
        <v>91</v>
      </c>
      <c r="C6" s="7">
        <v>90</v>
      </c>
      <c r="D6" s="25" t="str">
        <f t="shared" si="0"/>
        <v>합격</v>
      </c>
      <c r="F6" s="25">
        <v>1004</v>
      </c>
      <c r="G6" s="41" t="s">
        <v>92</v>
      </c>
      <c r="H6" s="25">
        <v>88</v>
      </c>
      <c r="I6" s="25" t="str">
        <f t="shared" si="1"/>
        <v>총무부</v>
      </c>
    </row>
    <row r="7" spans="1:10">
      <c r="A7" s="25">
        <v>1005</v>
      </c>
      <c r="B7" s="25" t="s">
        <v>93</v>
      </c>
      <c r="C7" s="7">
        <v>52</v>
      </c>
      <c r="D7" s="25" t="str">
        <f t="shared" si="0"/>
        <v>불합격</v>
      </c>
      <c r="F7" s="25">
        <v>1005</v>
      </c>
      <c r="G7" s="41" t="s">
        <v>94</v>
      </c>
      <c r="H7" s="25">
        <v>60</v>
      </c>
      <c r="I7" s="25" t="str">
        <f t="shared" si="1"/>
        <v>영업부</v>
      </c>
    </row>
    <row r="8" spans="1:10">
      <c r="A8" s="25">
        <v>1006</v>
      </c>
      <c r="B8" s="25" t="s">
        <v>95</v>
      </c>
      <c r="C8" s="7">
        <v>42</v>
      </c>
      <c r="D8" s="25" t="str">
        <f t="shared" si="0"/>
        <v>불합격</v>
      </c>
      <c r="F8" s="25">
        <v>1006</v>
      </c>
      <c r="G8" s="41" t="s">
        <v>96</v>
      </c>
      <c r="H8" s="25">
        <v>92</v>
      </c>
      <c r="I8" s="25" t="str">
        <f t="shared" si="1"/>
        <v>기획부</v>
      </c>
    </row>
    <row r="9" spans="1:10">
      <c r="A9" s="25">
        <v>1007</v>
      </c>
      <c r="B9" s="25" t="s">
        <v>97</v>
      </c>
      <c r="C9" s="7">
        <v>80</v>
      </c>
      <c r="D9" s="25" t="str">
        <f t="shared" si="0"/>
        <v>합격</v>
      </c>
      <c r="F9" s="25">
        <v>1007</v>
      </c>
      <c r="G9" s="41" t="s">
        <v>98</v>
      </c>
      <c r="H9" s="25">
        <v>72</v>
      </c>
      <c r="I9" s="25" t="str">
        <f t="shared" si="1"/>
        <v>영업부</v>
      </c>
    </row>
    <row r="10" spans="1:10">
      <c r="A10" s="25">
        <v>1008</v>
      </c>
      <c r="B10" s="25" t="s">
        <v>99</v>
      </c>
      <c r="C10" s="7">
        <v>69</v>
      </c>
      <c r="D10" s="25" t="str">
        <f t="shared" si="0"/>
        <v>불합격</v>
      </c>
    </row>
    <row r="11" spans="1:10">
      <c r="A11" s="25">
        <v>1009</v>
      </c>
      <c r="B11" s="25" t="s">
        <v>100</v>
      </c>
      <c r="C11" s="7">
        <v>75</v>
      </c>
      <c r="D11" s="25" t="str">
        <f t="shared" si="0"/>
        <v>합격</v>
      </c>
    </row>
    <row r="13" spans="1:10">
      <c r="A13" s="47" t="s">
        <v>101</v>
      </c>
      <c r="F13" s="47" t="s">
        <v>102</v>
      </c>
      <c r="G13" s="48"/>
      <c r="H13" s="48"/>
      <c r="I13" s="48"/>
      <c r="J13" s="48"/>
    </row>
    <row r="14" spans="1:10">
      <c r="A14" s="25" t="s">
        <v>103</v>
      </c>
      <c r="B14" s="41" t="s">
        <v>104</v>
      </c>
      <c r="C14" s="41" t="s">
        <v>105</v>
      </c>
      <c r="D14" s="22" t="s">
        <v>106</v>
      </c>
      <c r="F14" s="49" t="s">
        <v>107</v>
      </c>
      <c r="G14" s="41" t="s">
        <v>108</v>
      </c>
      <c r="H14" s="41" t="s">
        <v>109</v>
      </c>
      <c r="I14" s="41" t="s">
        <v>110</v>
      </c>
      <c r="J14" s="50" t="s">
        <v>82</v>
      </c>
    </row>
    <row r="15" spans="1:10">
      <c r="A15" s="25" t="s">
        <v>61</v>
      </c>
      <c r="B15" s="42">
        <v>10</v>
      </c>
      <c r="C15" s="42">
        <v>100000</v>
      </c>
      <c r="D15" s="42" t="str">
        <f>IF(AND(B15&gt;=15,C15&gt;=100000),"승진","")</f>
        <v/>
      </c>
      <c r="F15" s="49">
        <v>2002001</v>
      </c>
      <c r="G15" s="49" t="s">
        <v>111</v>
      </c>
      <c r="H15" s="49">
        <v>77</v>
      </c>
      <c r="I15" s="49">
        <v>86</v>
      </c>
      <c r="J15" s="41" t="str">
        <f>IF(OR(H15&gt;=85,I15&gt;=85),"이수","")</f>
        <v>이수</v>
      </c>
    </row>
    <row r="16" spans="1:10">
      <c r="A16" s="25" t="s">
        <v>62</v>
      </c>
      <c r="B16" s="42">
        <v>17</v>
      </c>
      <c r="C16" s="42">
        <v>150000</v>
      </c>
      <c r="D16" s="42" t="str">
        <f t="shared" ref="D16:D21" si="2">IF(AND(B16&gt;=15,C16&gt;=100000),"승진","")</f>
        <v>승진</v>
      </c>
      <c r="F16" s="49">
        <v>2002002</v>
      </c>
      <c r="G16" s="49" t="s">
        <v>112</v>
      </c>
      <c r="H16" s="49">
        <v>56</v>
      </c>
      <c r="I16" s="49">
        <v>100</v>
      </c>
      <c r="J16" s="41" t="str">
        <f t="shared" ref="J16:J23" si="3">IF(OR(H16&gt;=85,I16&gt;=85),"이수","")</f>
        <v>이수</v>
      </c>
    </row>
    <row r="17" spans="1:10">
      <c r="A17" s="25" t="s">
        <v>63</v>
      </c>
      <c r="B17" s="42">
        <v>15</v>
      </c>
      <c r="C17" s="42">
        <v>50000</v>
      </c>
      <c r="D17" s="42" t="str">
        <f t="shared" si="2"/>
        <v/>
      </c>
      <c r="F17" s="49">
        <v>2002003</v>
      </c>
      <c r="G17" s="49" t="s">
        <v>113</v>
      </c>
      <c r="H17" s="49">
        <v>76</v>
      </c>
      <c r="I17" s="49">
        <v>84</v>
      </c>
      <c r="J17" s="41" t="str">
        <f t="shared" si="3"/>
        <v/>
      </c>
    </row>
    <row r="18" spans="1:10">
      <c r="A18" s="25" t="s">
        <v>64</v>
      </c>
      <c r="B18" s="42">
        <v>25</v>
      </c>
      <c r="C18" s="42">
        <v>65000</v>
      </c>
      <c r="D18" s="42" t="str">
        <f t="shared" si="2"/>
        <v/>
      </c>
      <c r="F18" s="49">
        <v>2002004</v>
      </c>
      <c r="G18" s="49" t="s">
        <v>114</v>
      </c>
      <c r="H18" s="49">
        <v>56</v>
      </c>
      <c r="I18" s="49">
        <v>78</v>
      </c>
      <c r="J18" s="41" t="str">
        <f t="shared" si="3"/>
        <v/>
      </c>
    </row>
    <row r="19" spans="1:10">
      <c r="A19" s="25" t="s">
        <v>65</v>
      </c>
      <c r="B19" s="42">
        <v>15</v>
      </c>
      <c r="C19" s="42">
        <v>134000</v>
      </c>
      <c r="D19" s="42" t="str">
        <f t="shared" si="2"/>
        <v>승진</v>
      </c>
      <c r="F19" s="49">
        <v>2002005</v>
      </c>
      <c r="G19" s="49" t="s">
        <v>115</v>
      </c>
      <c r="H19" s="49">
        <v>88</v>
      </c>
      <c r="I19" s="49">
        <v>96</v>
      </c>
      <c r="J19" s="41" t="str">
        <f t="shared" si="3"/>
        <v>이수</v>
      </c>
    </row>
    <row r="20" spans="1:10">
      <c r="A20" s="25" t="s">
        <v>66</v>
      </c>
      <c r="B20" s="42">
        <v>9</v>
      </c>
      <c r="C20" s="42">
        <v>74000</v>
      </c>
      <c r="D20" s="42" t="str">
        <f t="shared" si="2"/>
        <v/>
      </c>
      <c r="F20" s="49">
        <v>2002006</v>
      </c>
      <c r="G20" s="49" t="s">
        <v>116</v>
      </c>
      <c r="H20" s="49">
        <v>78</v>
      </c>
      <c r="I20" s="49">
        <v>56</v>
      </c>
      <c r="J20" s="41" t="str">
        <f t="shared" si="3"/>
        <v/>
      </c>
    </row>
    <row r="21" spans="1:10">
      <c r="A21" s="25" t="s">
        <v>67</v>
      </c>
      <c r="B21" s="42">
        <v>12</v>
      </c>
      <c r="C21" s="42">
        <v>95000</v>
      </c>
      <c r="D21" s="42" t="str">
        <f t="shared" si="2"/>
        <v/>
      </c>
      <c r="F21" s="49">
        <v>2002007</v>
      </c>
      <c r="G21" s="49" t="s">
        <v>117</v>
      </c>
      <c r="H21" s="49">
        <v>67</v>
      </c>
      <c r="I21" s="49">
        <v>78</v>
      </c>
      <c r="J21" s="41" t="str">
        <f t="shared" si="3"/>
        <v/>
      </c>
    </row>
    <row r="22" spans="1:10">
      <c r="F22" s="49">
        <v>2002008</v>
      </c>
      <c r="G22" s="49" t="s">
        <v>118</v>
      </c>
      <c r="H22" s="49">
        <v>100</v>
      </c>
      <c r="I22" s="49">
        <v>86</v>
      </c>
      <c r="J22" s="41" t="str">
        <f t="shared" si="3"/>
        <v>이수</v>
      </c>
    </row>
    <row r="23" spans="1:10">
      <c r="A23" s="43" t="s">
        <v>119</v>
      </c>
      <c r="F23" s="49">
        <v>2002009</v>
      </c>
      <c r="G23" s="49" t="s">
        <v>120</v>
      </c>
      <c r="H23" s="49">
        <v>42</v>
      </c>
      <c r="I23" s="49">
        <v>56</v>
      </c>
      <c r="J23" s="41" t="str">
        <f t="shared" si="3"/>
        <v/>
      </c>
    </row>
    <row r="24" spans="1:10">
      <c r="A24" s="173" t="s">
        <v>108</v>
      </c>
      <c r="B24" s="173" t="s">
        <v>121</v>
      </c>
      <c r="C24" s="173" t="s">
        <v>122</v>
      </c>
      <c r="D24" s="173"/>
    </row>
    <row r="25" spans="1:10">
      <c r="A25" s="173"/>
      <c r="B25" s="173"/>
      <c r="C25" s="25" t="s">
        <v>123</v>
      </c>
      <c r="D25" s="44" t="s">
        <v>124</v>
      </c>
    </row>
    <row r="26" spans="1:10">
      <c r="A26" s="25" t="s">
        <v>68</v>
      </c>
      <c r="B26" s="51">
        <v>1850000</v>
      </c>
      <c r="C26" s="45">
        <v>2</v>
      </c>
      <c r="D26" s="46">
        <f>IFERROR(C26*100000,"입력오류")</f>
        <v>200000</v>
      </c>
    </row>
    <row r="27" spans="1:10">
      <c r="A27" s="25" t="s">
        <v>69</v>
      </c>
      <c r="B27" s="51">
        <v>1570000</v>
      </c>
      <c r="C27" s="45">
        <v>1</v>
      </c>
      <c r="D27" s="46">
        <f t="shared" ref="D27:D34" si="4">IFERROR(C27*100000,"입력오류")</f>
        <v>100000</v>
      </c>
    </row>
    <row r="28" spans="1:10">
      <c r="A28" s="25" t="s">
        <v>70</v>
      </c>
      <c r="B28" s="51">
        <v>1330000</v>
      </c>
      <c r="C28" s="45">
        <v>2</v>
      </c>
      <c r="D28" s="46">
        <f t="shared" si="4"/>
        <v>200000</v>
      </c>
    </row>
    <row r="29" spans="1:10">
      <c r="A29" s="25" t="s">
        <v>71</v>
      </c>
      <c r="B29" s="51">
        <v>1420000</v>
      </c>
      <c r="C29" s="45">
        <v>2</v>
      </c>
      <c r="D29" s="46">
        <f t="shared" si="4"/>
        <v>200000</v>
      </c>
    </row>
    <row r="30" spans="1:10">
      <c r="A30" s="25" t="s">
        <v>72</v>
      </c>
      <c r="B30" s="51">
        <v>1100000</v>
      </c>
      <c r="C30" s="45" t="s">
        <v>125</v>
      </c>
      <c r="D30" s="46" t="str">
        <f t="shared" si="4"/>
        <v>입력오류</v>
      </c>
    </row>
    <row r="31" spans="1:10">
      <c r="A31" s="25" t="s">
        <v>73</v>
      </c>
      <c r="B31" s="51">
        <v>1390000</v>
      </c>
      <c r="C31" s="45">
        <v>1</v>
      </c>
      <c r="D31" s="46">
        <f t="shared" si="4"/>
        <v>100000</v>
      </c>
    </row>
    <row r="32" spans="1:10">
      <c r="A32" s="25" t="s">
        <v>74</v>
      </c>
      <c r="B32" s="51">
        <v>1240000</v>
      </c>
      <c r="C32" s="45" t="s">
        <v>126</v>
      </c>
      <c r="D32" s="46" t="str">
        <f t="shared" si="4"/>
        <v>입력오류</v>
      </c>
    </row>
    <row r="33" spans="1:4">
      <c r="A33" s="25" t="s">
        <v>75</v>
      </c>
      <c r="B33" s="51">
        <v>1480000</v>
      </c>
      <c r="C33" s="45">
        <v>2</v>
      </c>
      <c r="D33" s="46">
        <f t="shared" si="4"/>
        <v>200000</v>
      </c>
    </row>
    <row r="34" spans="1:4">
      <c r="A34" s="25" t="s">
        <v>76</v>
      </c>
      <c r="B34" s="51">
        <v>1350000</v>
      </c>
      <c r="C34" s="45">
        <v>0</v>
      </c>
      <c r="D34" s="46">
        <f t="shared" si="4"/>
        <v>0</v>
      </c>
    </row>
  </sheetData>
  <mergeCells count="3">
    <mergeCell ref="A24:A25"/>
    <mergeCell ref="B24:B25"/>
    <mergeCell ref="C24:D24"/>
  </mergeCells>
  <phoneticPr fontId="2" type="noConversion"/>
  <conditionalFormatting sqref="G3:G9">
    <cfRule type="expression" dxfId="0" priority="1" stopIfTrue="1">
      <formula>#REF!&gt;=95</formula>
    </cfRule>
  </conditionalFormatting>
  <pageMargins left="0.7" right="0.7" top="0.75" bottom="0.75" header="0.3" footer="0.3"/>
  <pageSetup paperSize="9" orientation="portrait" horizontalDpi="4294967293" verticalDpi="4294967293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7"/>
  <sheetViews>
    <sheetView workbookViewId="0">
      <selection activeCell="N24" sqref="N24"/>
    </sheetView>
  </sheetViews>
  <sheetFormatPr defaultRowHeight="16.5"/>
  <cols>
    <col min="3" max="4" width="12.25" customWidth="1"/>
    <col min="6" max="7" width="11" customWidth="1"/>
    <col min="9" max="9" width="11" bestFit="1" customWidth="1"/>
  </cols>
  <sheetData>
    <row r="1" spans="1:9">
      <c r="A1" s="1" t="s">
        <v>205</v>
      </c>
      <c r="B1" s="1"/>
      <c r="C1" s="1"/>
      <c r="D1" s="1"/>
      <c r="E1" s="52"/>
      <c r="F1" s="1" t="s">
        <v>206</v>
      </c>
      <c r="G1" s="1"/>
      <c r="H1" s="1"/>
      <c r="I1" s="1"/>
    </row>
    <row r="2" spans="1:9">
      <c r="A2" s="53" t="s">
        <v>207</v>
      </c>
      <c r="B2" s="54" t="s">
        <v>208</v>
      </c>
      <c r="C2" s="55" t="s">
        <v>209</v>
      </c>
      <c r="D2" s="55" t="s">
        <v>210</v>
      </c>
      <c r="E2" s="52"/>
      <c r="F2" s="5" t="s">
        <v>211</v>
      </c>
      <c r="G2" s="5" t="s">
        <v>212</v>
      </c>
      <c r="H2" s="5" t="s">
        <v>213</v>
      </c>
      <c r="I2" s="5" t="s">
        <v>214</v>
      </c>
    </row>
    <row r="3" spans="1:9">
      <c r="A3" s="55" t="s">
        <v>215</v>
      </c>
      <c r="B3" s="55" t="s">
        <v>216</v>
      </c>
      <c r="C3" s="56">
        <v>79</v>
      </c>
      <c r="D3" s="56">
        <v>97</v>
      </c>
      <c r="E3" s="52"/>
      <c r="F3" s="5" t="s">
        <v>217</v>
      </c>
      <c r="G3" s="57">
        <v>1673</v>
      </c>
      <c r="H3" s="5">
        <v>40</v>
      </c>
      <c r="I3" s="58">
        <f t="shared" ref="I3:I10" si="0">G3*H3</f>
        <v>66920</v>
      </c>
    </row>
    <row r="4" spans="1:9">
      <c r="A4" s="55" t="s">
        <v>218</v>
      </c>
      <c r="B4" s="55" t="s">
        <v>219</v>
      </c>
      <c r="C4" s="56">
        <v>77</v>
      </c>
      <c r="D4" s="56">
        <v>89</v>
      </c>
      <c r="E4" s="52"/>
      <c r="F4" s="5" t="s">
        <v>220</v>
      </c>
      <c r="G4" s="57">
        <v>1506</v>
      </c>
      <c r="H4" s="5">
        <v>58</v>
      </c>
      <c r="I4" s="58">
        <f t="shared" si="0"/>
        <v>87348</v>
      </c>
    </row>
    <row r="5" spans="1:9">
      <c r="A5" s="55" t="s">
        <v>221</v>
      </c>
      <c r="B5" s="55" t="s">
        <v>216</v>
      </c>
      <c r="C5" s="56">
        <v>56</v>
      </c>
      <c r="D5" s="56">
        <v>76</v>
      </c>
      <c r="E5" s="52"/>
      <c r="F5" s="5" t="s">
        <v>222</v>
      </c>
      <c r="G5" s="57">
        <v>1126</v>
      </c>
      <c r="H5" s="5">
        <v>91</v>
      </c>
      <c r="I5" s="58">
        <f t="shared" si="0"/>
        <v>102466</v>
      </c>
    </row>
    <row r="6" spans="1:9">
      <c r="A6" s="55" t="s">
        <v>223</v>
      </c>
      <c r="B6" s="55" t="s">
        <v>219</v>
      </c>
      <c r="C6" s="56">
        <v>88</v>
      </c>
      <c r="D6" s="56">
        <v>80</v>
      </c>
      <c r="E6" s="52"/>
      <c r="F6" s="5" t="s">
        <v>224</v>
      </c>
      <c r="G6" s="57">
        <v>2953</v>
      </c>
      <c r="H6" s="5">
        <v>99</v>
      </c>
      <c r="I6" s="58">
        <f t="shared" si="0"/>
        <v>292347</v>
      </c>
    </row>
    <row r="7" spans="1:9">
      <c r="A7" s="55" t="s">
        <v>225</v>
      </c>
      <c r="B7" s="55" t="s">
        <v>216</v>
      </c>
      <c r="C7" s="56">
        <v>88</v>
      </c>
      <c r="D7" s="56">
        <v>93</v>
      </c>
      <c r="E7" s="52"/>
      <c r="F7" s="5" t="s">
        <v>217</v>
      </c>
      <c r="G7" s="57">
        <v>1423</v>
      </c>
      <c r="H7" s="5">
        <v>54</v>
      </c>
      <c r="I7" s="58">
        <f t="shared" si="0"/>
        <v>76842</v>
      </c>
    </row>
    <row r="8" spans="1:9">
      <c r="A8" s="55" t="s">
        <v>226</v>
      </c>
      <c r="B8" s="55" t="s">
        <v>219</v>
      </c>
      <c r="C8" s="56">
        <v>91</v>
      </c>
      <c r="D8" s="56">
        <v>67</v>
      </c>
      <c r="E8" s="52"/>
      <c r="F8" s="5" t="s">
        <v>222</v>
      </c>
      <c r="G8" s="57">
        <v>1338</v>
      </c>
      <c r="H8" s="5">
        <v>40</v>
      </c>
      <c r="I8" s="58">
        <f t="shared" si="0"/>
        <v>53520</v>
      </c>
    </row>
    <row r="9" spans="1:9">
      <c r="A9" s="55" t="s">
        <v>227</v>
      </c>
      <c r="B9" s="55" t="s">
        <v>216</v>
      </c>
      <c r="C9" s="56">
        <v>85</v>
      </c>
      <c r="D9" s="56">
        <v>56</v>
      </c>
      <c r="E9" s="52"/>
      <c r="F9" s="5" t="s">
        <v>217</v>
      </c>
      <c r="G9" s="57">
        <v>2310</v>
      </c>
      <c r="H9" s="5">
        <v>73</v>
      </c>
      <c r="I9" s="58">
        <f t="shared" si="0"/>
        <v>168630</v>
      </c>
    </row>
    <row r="10" spans="1:9">
      <c r="A10" s="55" t="s">
        <v>228</v>
      </c>
      <c r="B10" s="55" t="s">
        <v>216</v>
      </c>
      <c r="C10" s="56">
        <v>76</v>
      </c>
      <c r="D10" s="56">
        <v>89</v>
      </c>
      <c r="E10" s="52"/>
      <c r="F10" s="5" t="s">
        <v>229</v>
      </c>
      <c r="G10" s="57">
        <v>1937</v>
      </c>
      <c r="H10" s="5">
        <v>90</v>
      </c>
      <c r="I10" s="58">
        <f t="shared" si="0"/>
        <v>174330</v>
      </c>
    </row>
    <row r="11" spans="1:9">
      <c r="A11" s="1"/>
      <c r="B11" s="59"/>
      <c r="C11" s="1"/>
      <c r="D11" s="1"/>
      <c r="E11" s="52"/>
      <c r="F11" s="1"/>
      <c r="G11" s="1"/>
      <c r="H11" s="1"/>
      <c r="I11" s="1"/>
    </row>
    <row r="12" spans="1:9">
      <c r="A12" s="175" t="s">
        <v>230</v>
      </c>
      <c r="B12" s="175"/>
      <c r="C12" s="175"/>
      <c r="D12" s="40"/>
      <c r="E12" s="52"/>
      <c r="F12" s="176" t="s">
        <v>231</v>
      </c>
      <c r="G12" s="176"/>
      <c r="H12" s="176"/>
      <c r="I12" s="60"/>
    </row>
    <row r="13" spans="1:9">
      <c r="A13" s="52"/>
      <c r="B13" s="52"/>
      <c r="C13" s="52"/>
      <c r="D13" s="52"/>
      <c r="E13" s="52"/>
      <c r="F13" s="52"/>
      <c r="G13" s="52"/>
      <c r="H13" s="52"/>
      <c r="I13" s="52"/>
    </row>
    <row r="14" spans="1:9">
      <c r="A14" s="1" t="s">
        <v>232</v>
      </c>
      <c r="B14" s="1"/>
      <c r="C14" s="1"/>
      <c r="D14" s="1"/>
      <c r="E14" s="1"/>
      <c r="F14" s="1" t="s">
        <v>233</v>
      </c>
      <c r="G14" s="61"/>
      <c r="H14" s="1"/>
      <c r="I14" s="1"/>
    </row>
    <row r="15" spans="1:9">
      <c r="A15" s="41" t="s">
        <v>207</v>
      </c>
      <c r="B15" s="41" t="s">
        <v>234</v>
      </c>
      <c r="C15" s="41" t="s">
        <v>235</v>
      </c>
      <c r="D15" s="41" t="s">
        <v>236</v>
      </c>
      <c r="E15" s="1"/>
      <c r="F15" s="40" t="s">
        <v>237</v>
      </c>
      <c r="G15" s="40" t="s">
        <v>238</v>
      </c>
      <c r="H15" s="40" t="s">
        <v>239</v>
      </c>
      <c r="I15" s="62" t="s">
        <v>240</v>
      </c>
    </row>
    <row r="16" spans="1:9">
      <c r="A16" s="24" t="s">
        <v>241</v>
      </c>
      <c r="B16" s="24" t="s">
        <v>242</v>
      </c>
      <c r="C16" s="24">
        <v>557</v>
      </c>
      <c r="D16" s="24">
        <v>345</v>
      </c>
      <c r="E16" s="1"/>
      <c r="F16" s="5" t="s">
        <v>243</v>
      </c>
      <c r="G16" s="5" t="s">
        <v>244</v>
      </c>
      <c r="H16" s="5">
        <v>14</v>
      </c>
      <c r="I16" s="5">
        <v>20</v>
      </c>
    </row>
    <row r="17" spans="1:9">
      <c r="A17" s="24" t="s">
        <v>245</v>
      </c>
      <c r="B17" s="24" t="s">
        <v>246</v>
      </c>
      <c r="C17" s="24">
        <v>476</v>
      </c>
      <c r="D17" s="24">
        <v>513</v>
      </c>
      <c r="E17" s="1"/>
      <c r="F17" s="5" t="s">
        <v>247</v>
      </c>
      <c r="G17" s="5" t="s">
        <v>248</v>
      </c>
      <c r="H17" s="5">
        <v>2</v>
      </c>
      <c r="I17" s="5">
        <v>13</v>
      </c>
    </row>
    <row r="18" spans="1:9">
      <c r="A18" s="24" t="s">
        <v>249</v>
      </c>
      <c r="B18" s="24" t="s">
        <v>242</v>
      </c>
      <c r="C18" s="24">
        <v>231</v>
      </c>
      <c r="D18" s="24">
        <v>474</v>
      </c>
      <c r="E18" s="1"/>
      <c r="F18" s="5" t="s">
        <v>247</v>
      </c>
      <c r="G18" s="5" t="s">
        <v>250</v>
      </c>
      <c r="H18" s="5">
        <v>3</v>
      </c>
      <c r="I18" s="5">
        <v>3</v>
      </c>
    </row>
    <row r="19" spans="1:9">
      <c r="A19" s="24" t="s">
        <v>251</v>
      </c>
      <c r="B19" s="24" t="s">
        <v>246</v>
      </c>
      <c r="C19" s="24">
        <v>175</v>
      </c>
      <c r="D19" s="24">
        <v>453</v>
      </c>
      <c r="E19" s="1"/>
      <c r="F19" s="5" t="s">
        <v>252</v>
      </c>
      <c r="G19" s="5" t="s">
        <v>253</v>
      </c>
      <c r="H19" s="5">
        <v>8</v>
      </c>
      <c r="I19" s="5">
        <v>5</v>
      </c>
    </row>
    <row r="20" spans="1:9">
      <c r="A20" s="24" t="s">
        <v>254</v>
      </c>
      <c r="B20" s="24" t="s">
        <v>246</v>
      </c>
      <c r="C20" s="24">
        <v>834</v>
      </c>
      <c r="D20" s="24">
        <v>401</v>
      </c>
      <c r="E20" s="1"/>
      <c r="F20" s="5" t="s">
        <v>243</v>
      </c>
      <c r="G20" s="5" t="s">
        <v>255</v>
      </c>
      <c r="H20" s="5">
        <v>5</v>
      </c>
      <c r="I20" s="5">
        <v>3</v>
      </c>
    </row>
    <row r="21" spans="1:9">
      <c r="A21" s="24" t="s">
        <v>256</v>
      </c>
      <c r="B21" s="24" t="s">
        <v>242</v>
      </c>
      <c r="C21" s="24">
        <v>597</v>
      </c>
      <c r="D21" s="24">
        <v>347</v>
      </c>
      <c r="E21" s="1"/>
      <c r="F21" s="5" t="s">
        <v>247</v>
      </c>
      <c r="G21" s="5" t="s">
        <v>257</v>
      </c>
      <c r="H21" s="5">
        <v>15</v>
      </c>
      <c r="I21" s="5">
        <v>5</v>
      </c>
    </row>
    <row r="22" spans="1:9">
      <c r="A22" s="52"/>
      <c r="B22" s="52"/>
      <c r="C22" s="52"/>
      <c r="D22" s="52"/>
      <c r="E22" s="52"/>
      <c r="F22" s="1"/>
      <c r="G22" s="1"/>
      <c r="H22" s="1"/>
      <c r="I22" s="1"/>
    </row>
    <row r="23" spans="1:9">
      <c r="A23" s="63"/>
      <c r="B23" s="64" t="s">
        <v>235</v>
      </c>
      <c r="C23" s="64" t="s">
        <v>236</v>
      </c>
      <c r="D23" s="1"/>
      <c r="E23" s="65"/>
      <c r="F23" s="176" t="s">
        <v>258</v>
      </c>
      <c r="G23" s="176"/>
      <c r="H23" s="66"/>
      <c r="I23" s="67"/>
    </row>
    <row r="24" spans="1:9">
      <c r="A24" s="66"/>
      <c r="B24" s="68"/>
      <c r="C24" s="68"/>
      <c r="D24" s="1"/>
      <c r="E24" s="65"/>
      <c r="F24" s="177"/>
      <c r="G24" s="177"/>
      <c r="H24" s="70"/>
      <c r="I24" s="70"/>
    </row>
    <row r="25" spans="1:9">
      <c r="A25" s="52"/>
      <c r="B25" s="52"/>
      <c r="C25" s="52"/>
      <c r="D25" s="52"/>
      <c r="E25" s="52"/>
      <c r="F25" s="52"/>
      <c r="G25" s="1"/>
      <c r="H25" s="1"/>
      <c r="I25" s="1"/>
    </row>
    <row r="26" spans="1:9">
      <c r="A26" s="1" t="s">
        <v>259</v>
      </c>
      <c r="B26" s="1"/>
      <c r="C26" s="1"/>
      <c r="D26" s="1"/>
      <c r="E26" s="52"/>
      <c r="F26" s="1" t="s">
        <v>260</v>
      </c>
      <c r="G26" s="1"/>
      <c r="H26" s="1"/>
      <c r="I26" s="1"/>
    </row>
    <row r="27" spans="1:9">
      <c r="A27" s="40" t="s">
        <v>261</v>
      </c>
      <c r="B27" s="40" t="s">
        <v>262</v>
      </c>
      <c r="C27" s="40" t="s">
        <v>207</v>
      </c>
      <c r="D27" s="40" t="s">
        <v>263</v>
      </c>
      <c r="E27" s="52"/>
      <c r="F27" s="40" t="s">
        <v>264</v>
      </c>
      <c r="G27" s="40" t="s">
        <v>265</v>
      </c>
      <c r="H27" s="40" t="s">
        <v>266</v>
      </c>
      <c r="I27" s="40" t="s">
        <v>267</v>
      </c>
    </row>
    <row r="28" spans="1:9">
      <c r="A28" s="7" t="s">
        <v>268</v>
      </c>
      <c r="B28" s="23">
        <v>1</v>
      </c>
      <c r="C28" s="23" t="s">
        <v>269</v>
      </c>
      <c r="D28" s="23">
        <v>465</v>
      </c>
      <c r="E28" s="52"/>
      <c r="F28" s="40" t="s">
        <v>270</v>
      </c>
      <c r="G28" s="71">
        <v>92733</v>
      </c>
      <c r="H28" s="71">
        <v>46573</v>
      </c>
      <c r="I28" s="71">
        <f t="shared" ref="I28:I34" si="1">G28+H28</f>
        <v>139306</v>
      </c>
    </row>
    <row r="29" spans="1:9">
      <c r="A29" s="7" t="s">
        <v>271</v>
      </c>
      <c r="B29" s="23">
        <v>2</v>
      </c>
      <c r="C29" s="23" t="s">
        <v>272</v>
      </c>
      <c r="D29" s="23">
        <v>604</v>
      </c>
      <c r="E29" s="52"/>
      <c r="F29" s="40" t="s">
        <v>193</v>
      </c>
      <c r="G29" s="71">
        <v>66191</v>
      </c>
      <c r="H29" s="71">
        <v>60400</v>
      </c>
      <c r="I29" s="71">
        <f t="shared" si="1"/>
        <v>126591</v>
      </c>
    </row>
    <row r="30" spans="1:9">
      <c r="A30" s="7" t="s">
        <v>271</v>
      </c>
      <c r="B30" s="23">
        <v>3</v>
      </c>
      <c r="C30" s="23" t="s">
        <v>273</v>
      </c>
      <c r="D30" s="23">
        <v>383</v>
      </c>
      <c r="E30" s="52"/>
      <c r="F30" s="40" t="s">
        <v>195</v>
      </c>
      <c r="G30" s="71">
        <v>14809</v>
      </c>
      <c r="H30" s="71">
        <v>13827</v>
      </c>
      <c r="I30" s="71">
        <f t="shared" si="1"/>
        <v>28636</v>
      </c>
    </row>
    <row r="31" spans="1:9">
      <c r="A31" s="7" t="s">
        <v>268</v>
      </c>
      <c r="B31" s="23">
        <v>2</v>
      </c>
      <c r="C31" s="23" t="s">
        <v>274</v>
      </c>
      <c r="D31" s="23">
        <v>465</v>
      </c>
      <c r="E31" s="52"/>
      <c r="F31" s="40" t="s">
        <v>197</v>
      </c>
      <c r="G31" s="71">
        <v>51382</v>
      </c>
      <c r="H31" s="71">
        <v>46573</v>
      </c>
      <c r="I31" s="71">
        <f t="shared" si="1"/>
        <v>97955</v>
      </c>
    </row>
    <row r="32" spans="1:9">
      <c r="A32" s="7" t="s">
        <v>271</v>
      </c>
      <c r="B32" s="23">
        <v>1</v>
      </c>
      <c r="C32" s="23" t="s">
        <v>275</v>
      </c>
      <c r="D32" s="23">
        <v>382</v>
      </c>
      <c r="E32" s="52"/>
      <c r="F32" s="40" t="s">
        <v>276</v>
      </c>
      <c r="G32" s="71">
        <v>19663</v>
      </c>
      <c r="H32" s="71">
        <v>17382</v>
      </c>
      <c r="I32" s="71">
        <f t="shared" si="1"/>
        <v>37045</v>
      </c>
    </row>
    <row r="33" spans="1:9">
      <c r="A33" s="7" t="s">
        <v>271</v>
      </c>
      <c r="B33" s="23">
        <v>2</v>
      </c>
      <c r="C33" s="23" t="s">
        <v>277</v>
      </c>
      <c r="D33" s="23">
        <v>391</v>
      </c>
      <c r="E33" s="52"/>
      <c r="F33" s="40" t="s">
        <v>201</v>
      </c>
      <c r="G33" s="71">
        <v>22053</v>
      </c>
      <c r="H33" s="71">
        <v>49102</v>
      </c>
      <c r="I33" s="71">
        <f t="shared" si="1"/>
        <v>71155</v>
      </c>
    </row>
    <row r="34" spans="1:9">
      <c r="A34" s="7" t="s">
        <v>268</v>
      </c>
      <c r="B34" s="23">
        <v>3</v>
      </c>
      <c r="C34" s="23" t="s">
        <v>278</v>
      </c>
      <c r="D34" s="23">
        <v>572</v>
      </c>
      <c r="E34" s="52"/>
      <c r="F34" s="40" t="s">
        <v>203</v>
      </c>
      <c r="G34" s="71">
        <v>23900</v>
      </c>
      <c r="H34" s="71">
        <v>17206</v>
      </c>
      <c r="I34" s="71">
        <f t="shared" si="1"/>
        <v>41106</v>
      </c>
    </row>
    <row r="35" spans="1:9">
      <c r="A35" s="1"/>
      <c r="B35" s="1"/>
      <c r="C35" s="1"/>
      <c r="D35" s="1"/>
      <c r="E35" s="52"/>
      <c r="F35" s="1"/>
      <c r="G35" s="1"/>
      <c r="H35" s="1"/>
      <c r="I35" s="1"/>
    </row>
    <row r="36" spans="1:9">
      <c r="A36" s="66"/>
      <c r="B36" s="66"/>
      <c r="C36" s="175" t="s">
        <v>745</v>
      </c>
      <c r="D36" s="175"/>
      <c r="E36" s="52"/>
      <c r="F36" s="66"/>
      <c r="G36" s="66"/>
      <c r="H36" s="175" t="s">
        <v>279</v>
      </c>
      <c r="I36" s="175"/>
    </row>
    <row r="37" spans="1:9">
      <c r="A37" s="66"/>
      <c r="B37" s="72"/>
      <c r="C37" s="174"/>
      <c r="D37" s="174"/>
      <c r="E37" s="52"/>
      <c r="F37" s="66"/>
      <c r="G37" s="66"/>
      <c r="H37" s="174"/>
      <c r="I37" s="174"/>
    </row>
  </sheetData>
  <mergeCells count="8">
    <mergeCell ref="C37:D37"/>
    <mergeCell ref="H37:I37"/>
    <mergeCell ref="A12:C12"/>
    <mergeCell ref="F12:H12"/>
    <mergeCell ref="F23:G23"/>
    <mergeCell ref="F24:G24"/>
    <mergeCell ref="C36:D36"/>
    <mergeCell ref="H36:I36"/>
  </mergeCells>
  <phoneticPr fontId="2" type="noConversion"/>
  <pageMargins left="0.7" right="0.7" top="0.75" bottom="0.75" header="0.3" footer="0.3"/>
  <pageSetup paperSize="9" orientation="portrait" horizontalDpi="4294967293" vertic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30</vt:i4>
      </vt:variant>
    </vt:vector>
  </HeadingPairs>
  <TitlesOfParts>
    <vt:vector size="30" baseType="lpstr">
      <vt:lpstr>계산(예제)</vt:lpstr>
      <vt:lpstr>계산(결과)</vt:lpstr>
      <vt:lpstr>날짜1(예제)</vt:lpstr>
      <vt:lpstr>날짜1(결과)</vt:lpstr>
      <vt:lpstr>날짜2(예제)</vt:lpstr>
      <vt:lpstr>날짜2(결과)</vt:lpstr>
      <vt:lpstr>논리(예제)</vt:lpstr>
      <vt:lpstr>논리(결과)</vt:lpstr>
      <vt:lpstr>데이터베이스(예제)</vt:lpstr>
      <vt:lpstr>데이터베이스(결과)</vt:lpstr>
      <vt:lpstr>문자열1(예제)</vt:lpstr>
      <vt:lpstr>문자열1(결과)</vt:lpstr>
      <vt:lpstr>문자열2(예제)</vt:lpstr>
      <vt:lpstr>문자열2(결과)</vt:lpstr>
      <vt:lpstr>문자열3(예제)</vt:lpstr>
      <vt:lpstr>문자열3(결과)</vt:lpstr>
      <vt:lpstr>수학1(예제)</vt:lpstr>
      <vt:lpstr>수학1(결과)</vt:lpstr>
      <vt:lpstr>수학2(예제)</vt:lpstr>
      <vt:lpstr>수학2(결과)</vt:lpstr>
      <vt:lpstr>통계1(예제)</vt:lpstr>
      <vt:lpstr>통계1(결과)</vt:lpstr>
      <vt:lpstr>통계2(예제)</vt:lpstr>
      <vt:lpstr>통계2(결과)</vt:lpstr>
      <vt:lpstr>통계3(예제)</vt:lpstr>
      <vt:lpstr>통계3(결과)</vt:lpstr>
      <vt:lpstr>찾기1(예제)</vt:lpstr>
      <vt:lpstr>찾기1(결과)</vt:lpstr>
      <vt:lpstr>찾기2(예제)</vt:lpstr>
      <vt:lpstr>찾기2(결과)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사용자</dc:creator>
  <cp:lastModifiedBy>K-H</cp:lastModifiedBy>
  <dcterms:created xsi:type="dcterms:W3CDTF">2014-05-14T10:58:27Z</dcterms:created>
  <dcterms:modified xsi:type="dcterms:W3CDTF">2019-11-05T13:52:44Z</dcterms:modified>
</cp:coreProperties>
</file>